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S:\Quality &amp; Reliability\Environmental Compliance RoHS-REACH-ConflictMinerals\Conflict Minerals Dodd-Frank\"/>
    </mc:Choice>
  </mc:AlternateContent>
  <workbookProtection workbookAlgorithmName="SHA-512" workbookHashValue="FDm0YVlRHuvuR7ASQJ7z4n/c8bI9AuIKyHf8ujFWtWUkp7+Xm6/f03FyvVRZ4GAgW7GEWKWltQSnVHknWKh2BA==" workbookSaltValue="EX+GsGCD48ANiKbfOQgmtw==" workbookSpinCount="100000" lockStructure="1"/>
  <bookViews>
    <workbookView xWindow="0" yWindow="0" windowWidth="28800" windowHeight="1233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F271" i="5" l="1"/>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I764" i="5"/>
  <c r="I2158" i="5"/>
  <c r="G242" i="5"/>
  <c r="G291" i="5"/>
  <c r="AB364" i="5"/>
  <c r="R488" i="5"/>
  <c r="G761" i="5"/>
  <c r="H1178" i="5"/>
  <c r="J1218" i="5"/>
  <c r="J1250" i="5"/>
  <c r="AB1312" i="5"/>
  <c r="F2013" i="5"/>
  <c r="V2061" i="5"/>
  <c r="E2061" i="5" s="1"/>
  <c r="X2061" i="5" s="1"/>
  <c r="AB2065" i="5"/>
  <c r="AB2152" i="5"/>
  <c r="H2474" i="5"/>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S210" i="5"/>
  <c r="AB210" i="5"/>
  <c r="R225" i="5"/>
  <c r="F225" i="5"/>
  <c r="E225" i="5"/>
  <c r="X225" i="5" s="1"/>
  <c r="V243" i="5"/>
  <c r="G243" i="5" s="1"/>
  <c r="F309" i="5"/>
  <c r="E309" i="5"/>
  <c r="X309" i="5" s="1"/>
  <c r="F357" i="5"/>
  <c r="E357" i="5"/>
  <c r="X357" i="5" s="1"/>
  <c r="G399" i="5"/>
  <c r="V463" i="5"/>
  <c r="R463" i="5" s="1"/>
  <c r="G586" i="5"/>
  <c r="F586" i="5"/>
  <c r="I714" i="5"/>
  <c r="J714" i="5"/>
  <c r="T738" i="5"/>
  <c r="S738" i="5"/>
  <c r="E452" i="5"/>
  <c r="X452" i="5" s="1"/>
  <c r="H452" i="5"/>
  <c r="F452" i="5"/>
  <c r="S1497" i="5"/>
  <c r="T149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T1447" i="5"/>
  <c r="AB1447" i="5"/>
  <c r="S1447" i="5"/>
  <c r="G275" i="5"/>
  <c r="I275" i="5"/>
  <c r="F275" i="5"/>
  <c r="V306" i="5"/>
  <c r="G306" i="5" s="1"/>
  <c r="I361" i="5"/>
  <c r="J361" i="5"/>
  <c r="H361" i="5"/>
  <c r="F361" i="5"/>
  <c r="V391" i="5"/>
  <c r="G391" i="5" s="1"/>
  <c r="G451" i="5"/>
  <c r="I479" i="5"/>
  <c r="H479" i="5"/>
  <c r="E479" i="5"/>
  <c r="X479" i="5" s="1"/>
  <c r="T519" i="5"/>
  <c r="S519" i="5"/>
  <c r="V574" i="5"/>
  <c r="F574" i="5" s="1"/>
  <c r="T641" i="5"/>
  <c r="S641" i="5"/>
  <c r="V194" i="5"/>
  <c r="I194" i="5" s="1"/>
  <c r="S245" i="5"/>
  <c r="T245" i="5"/>
  <c r="V314" i="5"/>
  <c r="G314" i="5" s="1"/>
  <c r="T351" i="5"/>
  <c r="S351" i="5"/>
  <c r="T454" i="5"/>
  <c r="S454" i="5"/>
  <c r="E468" i="5"/>
  <c r="X468" i="5" s="1"/>
  <c r="F468" i="5"/>
  <c r="T483" i="5"/>
  <c r="S483" i="5"/>
  <c r="V562" i="5"/>
  <c r="R562" i="5" s="1"/>
  <c r="I1848" i="5"/>
  <c r="H1848" i="5"/>
  <c r="I198" i="5"/>
  <c r="E198" i="5"/>
  <c r="X198" i="5" s="1"/>
  <c r="H198" i="5"/>
  <c r="V201" i="5"/>
  <c r="R201" i="5" s="1"/>
  <c r="R245" i="5"/>
  <c r="G245" i="5"/>
  <c r="I461" i="5"/>
  <c r="F461" i="5"/>
  <c r="J552" i="5"/>
  <c r="H552" i="5"/>
  <c r="V215" i="5"/>
  <c r="G215" i="5" s="1"/>
  <c r="R299" i="5"/>
  <c r="J299" i="5"/>
  <c r="T312" i="5"/>
  <c r="S312" i="5"/>
  <c r="T379" i="5"/>
  <c r="S379" i="5"/>
  <c r="E392" i="5"/>
  <c r="X392" i="5" s="1"/>
  <c r="I392" i="5"/>
  <c r="H392"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H195" i="5"/>
  <c r="F195" i="5"/>
  <c r="E195" i="5"/>
  <c r="X195" i="5" s="1"/>
  <c r="R195" i="5"/>
  <c r="I195" i="5"/>
  <c r="J195" i="5"/>
  <c r="G195" i="5"/>
  <c r="E193" i="5"/>
  <c r="X193" i="5" s="1"/>
  <c r="F193" i="5"/>
  <c r="H227" i="5"/>
  <c r="E227" i="5"/>
  <c r="X227" i="5" s="1"/>
  <c r="R227" i="5"/>
  <c r="F227" i="5"/>
  <c r="J227" i="5"/>
  <c r="I227" i="5"/>
  <c r="R241" i="5"/>
  <c r="F241" i="5"/>
  <c r="E241" i="5"/>
  <c r="X241" i="5" s="1"/>
  <c r="H247" i="5"/>
  <c r="I247" i="5"/>
  <c r="E247" i="5"/>
  <c r="X247" i="5" s="1"/>
  <c r="F247" i="5"/>
  <c r="R247" i="5"/>
  <c r="J247" i="5"/>
  <c r="H259" i="5"/>
  <c r="E259" i="5"/>
  <c r="X259" i="5" s="1"/>
  <c r="R259" i="5"/>
  <c r="G259" i="5"/>
  <c r="J259" i="5"/>
  <c r="I259" i="5"/>
  <c r="F259" i="5"/>
  <c r="I373" i="5"/>
  <c r="R373" i="5"/>
  <c r="J373" i="5"/>
  <c r="H373" i="5"/>
  <c r="F373" i="5"/>
  <c r="E373" i="5"/>
  <c r="X373" i="5" s="1"/>
  <c r="H199" i="5"/>
  <c r="R199" i="5"/>
  <c r="J199" i="5"/>
  <c r="I199" i="5"/>
  <c r="F199" i="5"/>
  <c r="G199" i="5"/>
  <c r="E199" i="5"/>
  <c r="X199" i="5" s="1"/>
  <c r="G197" i="5"/>
  <c r="R197" i="5"/>
  <c r="F197" i="5"/>
  <c r="H223" i="5"/>
  <c r="R223" i="5"/>
  <c r="J223" i="5"/>
  <c r="F223" i="5"/>
  <c r="I223" i="5"/>
  <c r="E223" i="5"/>
  <c r="X223" i="5" s="1"/>
  <c r="R229" i="5"/>
  <c r="F229" i="5"/>
  <c r="E229" i="5"/>
  <c r="X229" i="5" s="1"/>
  <c r="R337" i="5"/>
  <c r="J337" i="5"/>
  <c r="H337" i="5"/>
  <c r="F337" i="5"/>
  <c r="E337" i="5"/>
  <c r="X337" i="5" s="1"/>
  <c r="H203" i="5"/>
  <c r="R203" i="5"/>
  <c r="J203" i="5"/>
  <c r="I203" i="5"/>
  <c r="E203" i="5"/>
  <c r="X203" i="5" s="1"/>
  <c r="F203" i="5"/>
  <c r="R249" i="5"/>
  <c r="E249" i="5"/>
  <c r="X249" i="5" s="1"/>
  <c r="F24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J209" i="5"/>
  <c r="I209" i="5"/>
  <c r="H209" i="5"/>
  <c r="G209" i="5"/>
  <c r="S240" i="5"/>
  <c r="AB240" i="5"/>
  <c r="T240" i="5"/>
  <c r="H270" i="5"/>
  <c r="F270" i="5"/>
  <c r="E270" i="5"/>
  <c r="X270" i="5" s="1"/>
  <c r="R270" i="5"/>
  <c r="J270" i="5"/>
  <c r="I270" i="5"/>
  <c r="R311" i="5"/>
  <c r="H311" i="5"/>
  <c r="I311" i="5"/>
  <c r="F311" i="5"/>
  <c r="E311" i="5"/>
  <c r="X311" i="5" s="1"/>
  <c r="J311" i="5"/>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8" i="5" l="1"/>
  <c r="C5" i="5"/>
  <c r="B8" i="5"/>
  <c r="B14" i="5"/>
  <c r="B9" i="5"/>
  <c r="B15" i="5"/>
  <c r="B5" i="5"/>
  <c r="B11" i="5"/>
  <c r="B12" i="5"/>
  <c r="C6" i="5"/>
  <c r="B16" i="5"/>
  <c r="B6" i="5"/>
  <c r="B13" i="5"/>
  <c r="C7" i="5"/>
  <c r="B10" i="5"/>
  <c r="B17" i="5"/>
  <c r="B18" i="5"/>
  <c r="AB18" i="5" s="1"/>
  <c r="B7" i="5"/>
  <c r="C20" i="5"/>
  <c r="C188" i="5"/>
  <c r="C185" i="5"/>
  <c r="C182" i="5"/>
  <c r="C179" i="5"/>
  <c r="C176" i="5"/>
  <c r="C173" i="5"/>
  <c r="C170" i="5"/>
  <c r="C167" i="5"/>
  <c r="C164" i="5"/>
  <c r="C161" i="5"/>
  <c r="C158" i="5"/>
  <c r="C155" i="5"/>
  <c r="C152" i="5"/>
  <c r="C149" i="5"/>
  <c r="C146" i="5"/>
  <c r="C143" i="5"/>
  <c r="C140" i="5"/>
  <c r="C137" i="5"/>
  <c r="C134" i="5"/>
  <c r="C131" i="5"/>
  <c r="C128" i="5"/>
  <c r="C125" i="5"/>
  <c r="C122" i="5"/>
  <c r="B120" i="5"/>
  <c r="B117" i="5"/>
  <c r="B114" i="5"/>
  <c r="B111" i="5"/>
  <c r="B108" i="5"/>
  <c r="B105" i="5"/>
  <c r="B102" i="5"/>
  <c r="B99" i="5"/>
  <c r="B96" i="5"/>
  <c r="B93" i="5"/>
  <c r="B90" i="5"/>
  <c r="B87" i="5"/>
  <c r="B84" i="5"/>
  <c r="B81" i="5"/>
  <c r="B78" i="5"/>
  <c r="C75" i="5"/>
  <c r="C72" i="5"/>
  <c r="C69" i="5"/>
  <c r="C66" i="5"/>
  <c r="C63" i="5"/>
  <c r="C60" i="5"/>
  <c r="C57" i="5"/>
  <c r="C54" i="5"/>
  <c r="C51" i="5"/>
  <c r="C48" i="5"/>
  <c r="C45" i="5"/>
  <c r="C42" i="5"/>
  <c r="C39" i="5"/>
  <c r="B37" i="5"/>
  <c r="B34" i="5"/>
  <c r="B31" i="5"/>
  <c r="B28" i="5"/>
  <c r="B25" i="5"/>
  <c r="C22" i="5"/>
  <c r="C19" i="5"/>
  <c r="B113" i="5"/>
  <c r="B80" i="5"/>
  <c r="C65" i="5"/>
  <c r="C56" i="5"/>
  <c r="C44" i="5"/>
  <c r="B36" i="5"/>
  <c r="B24" i="5"/>
  <c r="C177" i="5"/>
  <c r="C171" i="5"/>
  <c r="C159" i="5"/>
  <c r="C144" i="5"/>
  <c r="C129" i="5"/>
  <c r="B188" i="5"/>
  <c r="B185" i="5"/>
  <c r="B182" i="5"/>
  <c r="B179" i="5"/>
  <c r="B176" i="5"/>
  <c r="B173" i="5"/>
  <c r="B170" i="5"/>
  <c r="B167" i="5"/>
  <c r="B164" i="5"/>
  <c r="B161" i="5"/>
  <c r="B158" i="5"/>
  <c r="B155" i="5"/>
  <c r="B152" i="5"/>
  <c r="B149" i="5"/>
  <c r="B146" i="5"/>
  <c r="B143" i="5"/>
  <c r="B140" i="5"/>
  <c r="B137" i="5"/>
  <c r="B134" i="5"/>
  <c r="B131" i="5"/>
  <c r="B128" i="5"/>
  <c r="B125" i="5"/>
  <c r="B122" i="5"/>
  <c r="C119" i="5"/>
  <c r="C116" i="5"/>
  <c r="C113" i="5"/>
  <c r="C110" i="5"/>
  <c r="C107" i="5"/>
  <c r="C104" i="5"/>
  <c r="C101" i="5"/>
  <c r="C98" i="5"/>
  <c r="C95" i="5"/>
  <c r="C92" i="5"/>
  <c r="C89" i="5"/>
  <c r="C86" i="5"/>
  <c r="C83" i="5"/>
  <c r="C80" i="5"/>
  <c r="C77" i="5"/>
  <c r="B75" i="5"/>
  <c r="B72" i="5"/>
  <c r="B69" i="5"/>
  <c r="B66" i="5"/>
  <c r="B63" i="5"/>
  <c r="B60" i="5"/>
  <c r="B57" i="5"/>
  <c r="B54" i="5"/>
  <c r="B51" i="5"/>
  <c r="B48" i="5"/>
  <c r="B45" i="5"/>
  <c r="B42" i="5"/>
  <c r="B39" i="5"/>
  <c r="C36" i="5"/>
  <c r="C33" i="5"/>
  <c r="C30" i="5"/>
  <c r="C27" i="5"/>
  <c r="C24" i="5"/>
  <c r="B22" i="5"/>
  <c r="B19" i="5"/>
  <c r="C187" i="5"/>
  <c r="C181" i="5"/>
  <c r="C175" i="5"/>
  <c r="V175" i="5" s="1"/>
  <c r="C166" i="5"/>
  <c r="C160" i="5"/>
  <c r="C154" i="5"/>
  <c r="C148" i="5"/>
  <c r="C139" i="5"/>
  <c r="C130" i="5"/>
  <c r="C121" i="5"/>
  <c r="B116" i="5"/>
  <c r="B104" i="5"/>
  <c r="B95" i="5"/>
  <c r="B86" i="5"/>
  <c r="C74" i="5"/>
  <c r="C62" i="5"/>
  <c r="C53" i="5"/>
  <c r="C41" i="5"/>
  <c r="B30" i="5"/>
  <c r="C21" i="5"/>
  <c r="C189" i="5"/>
  <c r="C174" i="5"/>
  <c r="C156" i="5"/>
  <c r="C138" i="5"/>
  <c r="C172" i="5"/>
  <c r="C142" i="5"/>
  <c r="C124" i="5"/>
  <c r="V124" i="5" s="1"/>
  <c r="G124" i="5" s="1"/>
  <c r="B107" i="5"/>
  <c r="B92" i="5"/>
  <c r="B83" i="5"/>
  <c r="C68" i="5"/>
  <c r="C47" i="5"/>
  <c r="B33" i="5"/>
  <c r="C186" i="5"/>
  <c r="C168" i="5"/>
  <c r="C153" i="5"/>
  <c r="C132" i="5"/>
  <c r="B187" i="5"/>
  <c r="B184" i="5"/>
  <c r="B181" i="5"/>
  <c r="B178" i="5"/>
  <c r="B175" i="5"/>
  <c r="B172" i="5"/>
  <c r="B169" i="5"/>
  <c r="B166" i="5"/>
  <c r="B163" i="5"/>
  <c r="B160" i="5"/>
  <c r="B157" i="5"/>
  <c r="B154" i="5"/>
  <c r="B151" i="5"/>
  <c r="B148" i="5"/>
  <c r="B145" i="5"/>
  <c r="B142" i="5"/>
  <c r="B139" i="5"/>
  <c r="B136" i="5"/>
  <c r="B133" i="5"/>
  <c r="B130" i="5"/>
  <c r="B127" i="5"/>
  <c r="B124" i="5"/>
  <c r="B121" i="5"/>
  <c r="C118" i="5"/>
  <c r="C115" i="5"/>
  <c r="V115" i="5" s="1"/>
  <c r="C112" i="5"/>
  <c r="C109" i="5"/>
  <c r="C106" i="5"/>
  <c r="C103" i="5"/>
  <c r="C100" i="5"/>
  <c r="C97" i="5"/>
  <c r="C94" i="5"/>
  <c r="C91" i="5"/>
  <c r="C88" i="5"/>
  <c r="C85" i="5"/>
  <c r="C82" i="5"/>
  <c r="C79" i="5"/>
  <c r="B74" i="5"/>
  <c r="B71" i="5"/>
  <c r="B68" i="5"/>
  <c r="B65" i="5"/>
  <c r="B62" i="5"/>
  <c r="B59" i="5"/>
  <c r="B56" i="5"/>
  <c r="B53" i="5"/>
  <c r="B50" i="5"/>
  <c r="B47" i="5"/>
  <c r="B44" i="5"/>
  <c r="B41" i="5"/>
  <c r="B38" i="5"/>
  <c r="C35" i="5"/>
  <c r="C32" i="5"/>
  <c r="C29" i="5"/>
  <c r="C26" i="5"/>
  <c r="C23" i="5"/>
  <c r="B21" i="5"/>
  <c r="C180" i="5"/>
  <c r="V180" i="5" s="1"/>
  <c r="G180" i="5" s="1"/>
  <c r="C162" i="5"/>
  <c r="C147" i="5"/>
  <c r="C135" i="5"/>
  <c r="B189" i="5"/>
  <c r="B186" i="5"/>
  <c r="B183" i="5"/>
  <c r="B180" i="5"/>
  <c r="B177" i="5"/>
  <c r="B174" i="5"/>
  <c r="B171" i="5"/>
  <c r="B168" i="5"/>
  <c r="B165" i="5"/>
  <c r="B162" i="5"/>
  <c r="B159" i="5"/>
  <c r="B156" i="5"/>
  <c r="B153" i="5"/>
  <c r="B150" i="5"/>
  <c r="B147" i="5"/>
  <c r="B144" i="5"/>
  <c r="B141" i="5"/>
  <c r="B138" i="5"/>
  <c r="B135" i="5"/>
  <c r="B132" i="5"/>
  <c r="B129" i="5"/>
  <c r="B126" i="5"/>
  <c r="B123" i="5"/>
  <c r="C120" i="5"/>
  <c r="V120" i="5" s="1"/>
  <c r="G120" i="5" s="1"/>
  <c r="C117" i="5"/>
  <c r="C114" i="5"/>
  <c r="C111" i="5"/>
  <c r="C108" i="5"/>
  <c r="V108" i="5" s="1"/>
  <c r="G108" i="5" s="1"/>
  <c r="C105" i="5"/>
  <c r="C102" i="5"/>
  <c r="V102" i="5" s="1"/>
  <c r="C99" i="5"/>
  <c r="C96" i="5"/>
  <c r="C93" i="5"/>
  <c r="C90" i="5"/>
  <c r="C87" i="5"/>
  <c r="V87" i="5" s="1"/>
  <c r="H87" i="5" s="1"/>
  <c r="C84" i="5"/>
  <c r="C81" i="5"/>
  <c r="C78" i="5"/>
  <c r="B76" i="5"/>
  <c r="B73" i="5"/>
  <c r="B70" i="5"/>
  <c r="B67" i="5"/>
  <c r="B64" i="5"/>
  <c r="B61" i="5"/>
  <c r="B58" i="5"/>
  <c r="B55" i="5"/>
  <c r="B52" i="5"/>
  <c r="B49" i="5"/>
  <c r="B46" i="5"/>
  <c r="B43" i="5"/>
  <c r="B40" i="5"/>
  <c r="C37" i="5"/>
  <c r="C34" i="5"/>
  <c r="C31" i="5"/>
  <c r="C28" i="5"/>
  <c r="C25" i="5"/>
  <c r="B20" i="5"/>
  <c r="C184" i="5"/>
  <c r="C178" i="5"/>
  <c r="C169" i="5"/>
  <c r="C163" i="5"/>
  <c r="V163" i="5" s="1"/>
  <c r="H163" i="5" s="1"/>
  <c r="C157" i="5"/>
  <c r="C151" i="5"/>
  <c r="V151" i="5" s="1"/>
  <c r="C145" i="5"/>
  <c r="C136" i="5"/>
  <c r="V136" i="5" s="1"/>
  <c r="G136" i="5" s="1"/>
  <c r="C133" i="5"/>
  <c r="C127" i="5"/>
  <c r="B119" i="5"/>
  <c r="B110" i="5"/>
  <c r="B101" i="5"/>
  <c r="B98" i="5"/>
  <c r="B89" i="5"/>
  <c r="B77" i="5"/>
  <c r="C71" i="5"/>
  <c r="V71" i="5" s="1"/>
  <c r="H71" i="5" s="1"/>
  <c r="C59" i="5"/>
  <c r="C50" i="5"/>
  <c r="C38" i="5"/>
  <c r="B27" i="5"/>
  <c r="C183" i="5"/>
  <c r="C165" i="5"/>
  <c r="V165" i="5" s="1"/>
  <c r="C150" i="5"/>
  <c r="C141" i="5"/>
  <c r="B103" i="5"/>
  <c r="B85" i="5"/>
  <c r="C67" i="5"/>
  <c r="C49" i="5"/>
  <c r="B32" i="5"/>
  <c r="B115" i="5"/>
  <c r="B79" i="5"/>
  <c r="C76" i="5"/>
  <c r="B91" i="5"/>
  <c r="B118" i="5"/>
  <c r="B100" i="5"/>
  <c r="B82" i="5"/>
  <c r="C64" i="5"/>
  <c r="C46" i="5"/>
  <c r="B29" i="5"/>
  <c r="B97" i="5"/>
  <c r="C61" i="5"/>
  <c r="B26" i="5"/>
  <c r="B94" i="5"/>
  <c r="C73" i="5"/>
  <c r="C43" i="5"/>
  <c r="V43" i="5" s="1"/>
  <c r="F43" i="5" s="1"/>
  <c r="B23" i="5"/>
  <c r="B109" i="5"/>
  <c r="C55" i="5"/>
  <c r="B112" i="5"/>
  <c r="C58" i="5"/>
  <c r="C40" i="5"/>
  <c r="C126" i="5"/>
  <c r="C123" i="5"/>
  <c r="B106" i="5"/>
  <c r="B88" i="5"/>
  <c r="C70" i="5"/>
  <c r="C52" i="5"/>
  <c r="B35" i="5"/>
  <c r="C12" i="6"/>
  <c r="B32" i="6"/>
  <c r="C11" i="6"/>
  <c r="C10" i="6"/>
  <c r="C9" i="6"/>
  <c r="C8" i="6"/>
  <c r="C7" i="6"/>
  <c r="C4"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G30" i="6" s="1"/>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R207" i="5"/>
  <c r="E102" i="5"/>
  <c r="X102" i="5" s="1"/>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R71" i="5"/>
  <c r="F2381" i="5"/>
  <c r="E2405" i="5"/>
  <c r="X2405" i="5" s="1"/>
  <c r="J2386" i="5"/>
  <c r="R2180" i="5"/>
  <c r="H2160" i="5"/>
  <c r="F2100" i="5"/>
  <c r="R1952" i="5"/>
  <c r="H2035" i="5"/>
  <c r="F1867" i="5"/>
  <c r="R1786" i="5"/>
  <c r="R1131" i="5"/>
  <c r="R1304" i="5"/>
  <c r="I971" i="5"/>
  <c r="F1074" i="5"/>
  <c r="F971" i="5"/>
  <c r="I817" i="5"/>
  <c r="I330" i="5"/>
  <c r="J379" i="5"/>
  <c r="I303" i="5"/>
  <c r="H201" i="5"/>
  <c r="G574" i="5"/>
  <c r="G1665" i="5"/>
  <c r="R2386" i="5"/>
  <c r="I2160" i="5"/>
  <c r="E1952" i="5"/>
  <c r="X1952" i="5" s="1"/>
  <c r="I2035" i="5"/>
  <c r="E1786" i="5"/>
  <c r="X1786" i="5" s="1"/>
  <c r="I1471" i="5"/>
  <c r="R1471" i="5"/>
  <c r="R971" i="5"/>
  <c r="H1145" i="5"/>
  <c r="H971" i="5"/>
  <c r="J817" i="5"/>
  <c r="R817" i="5"/>
  <c r="F303" i="5"/>
  <c r="I201" i="5"/>
  <c r="G9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I391" i="5"/>
  <c r="F391" i="5"/>
  <c r="G191" i="5"/>
  <c r="H102" i="5"/>
  <c r="I102" i="5"/>
  <c r="F915" i="5"/>
  <c r="H712" i="5"/>
  <c r="H427" i="5"/>
  <c r="H194" i="5"/>
  <c r="I2213" i="5"/>
  <c r="R2213" i="5"/>
  <c r="J2213" i="5"/>
  <c r="H2213" i="5"/>
  <c r="F2213" i="5"/>
  <c r="J2381" i="5"/>
  <c r="I2381" i="5"/>
  <c r="E2381" i="5"/>
  <c r="X2381" i="5" s="1"/>
  <c r="J1309" i="5"/>
  <c r="I1309" i="5"/>
  <c r="J1325" i="5"/>
  <c r="F1325" i="5"/>
  <c r="E43" i="5"/>
  <c r="X43" i="5" s="1"/>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F163" i="5"/>
  <c r="E163" i="5"/>
  <c r="X163" i="5" s="1"/>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H25" i="6" s="1"/>
  <c r="B35" i="6"/>
  <c r="G35" i="6" s="1"/>
  <c r="C15" i="5"/>
  <c r="C8" i="5"/>
  <c r="C9" i="5"/>
  <c r="C10" i="5"/>
  <c r="C11" i="5"/>
  <c r="C14" i="5"/>
  <c r="C12" i="5"/>
  <c r="C13" i="5"/>
  <c r="C17" i="5"/>
  <c r="C16" i="5"/>
  <c r="B39" i="6"/>
  <c r="G39" i="6" s="1"/>
  <c r="F24"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R402" i="5"/>
  <c r="J402" i="5"/>
  <c r="I402" i="5"/>
  <c r="H402" i="5"/>
  <c r="F402" i="5"/>
  <c r="E402" i="5"/>
  <c r="X402" i="5" s="1"/>
  <c r="G355" i="5"/>
  <c r="J204" i="5"/>
  <c r="H204" i="5"/>
  <c r="F204" i="5"/>
  <c r="I204" i="5"/>
  <c r="E204" i="5"/>
  <c r="X204" i="5" s="1"/>
  <c r="R204"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E328" i="5"/>
  <c r="X328" i="5" s="1"/>
  <c r="J328" i="5"/>
  <c r="F328" i="5"/>
  <c r="R328" i="5"/>
  <c r="I328" i="5"/>
  <c r="H328" i="5"/>
  <c r="J220" i="5"/>
  <c r="I220" i="5"/>
  <c r="H220" i="5"/>
  <c r="F220" i="5"/>
  <c r="E220" i="5"/>
  <c r="X220" i="5" s="1"/>
  <c r="R220"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F66" i="6"/>
  <c r="F50" i="6"/>
  <c r="H50" i="6" s="1"/>
  <c r="D50" i="6" s="1"/>
  <c r="F30" i="6"/>
  <c r="F35" i="6"/>
  <c r="H35" i="6" s="1"/>
  <c r="D35" i="6" s="1"/>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80" i="5"/>
  <c r="H180" i="5"/>
  <c r="F180" i="5"/>
  <c r="R180" i="5"/>
  <c r="I180" i="5"/>
  <c r="E180" i="5"/>
  <c r="X180" i="5" s="1"/>
  <c r="J200" i="5"/>
  <c r="H200" i="5"/>
  <c r="F200" i="5"/>
  <c r="R200" i="5"/>
  <c r="I200" i="5"/>
  <c r="E200" i="5"/>
  <c r="X200" i="5" s="1"/>
  <c r="E308" i="5"/>
  <c r="X308" i="5" s="1"/>
  <c r="J308" i="5"/>
  <c r="R308" i="5"/>
  <c r="H308" i="5"/>
  <c r="G308" i="5"/>
  <c r="F308" i="5"/>
  <c r="I308" i="5"/>
  <c r="E312" i="5"/>
  <c r="X312" i="5" s="1"/>
  <c r="J312" i="5"/>
  <c r="F312" i="5"/>
  <c r="R312" i="5"/>
  <c r="I312" i="5"/>
  <c r="H312"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J212" i="5"/>
  <c r="I212" i="5"/>
  <c r="H212" i="5"/>
  <c r="F212" i="5"/>
  <c r="E212" i="5"/>
  <c r="X212" i="5" s="1"/>
  <c r="R212" i="5"/>
  <c r="A16" i="6"/>
  <c r="B34" i="4"/>
  <c r="A21" i="6" s="1"/>
  <c r="F44" i="6"/>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J108" i="5"/>
  <c r="H108" i="5"/>
  <c r="F108" i="5"/>
  <c r="I108" i="5"/>
  <c r="E108" i="5"/>
  <c r="X108" i="5" s="1"/>
  <c r="R108" i="5"/>
  <c r="G212" i="5"/>
  <c r="J136" i="5"/>
  <c r="H136" i="5"/>
  <c r="F136" i="5"/>
  <c r="R136" i="5"/>
  <c r="I136" i="5"/>
  <c r="E136" i="5"/>
  <c r="X136" i="5" s="1"/>
  <c r="E320" i="5"/>
  <c r="X320" i="5" s="1"/>
  <c r="J320" i="5"/>
  <c r="F320" i="5"/>
  <c r="R320" i="5"/>
  <c r="I320" i="5"/>
  <c r="H320" i="5"/>
  <c r="J43" i="5" l="1"/>
  <c r="AB35" i="5"/>
  <c r="V126" i="5"/>
  <c r="G126" i="5" s="1"/>
  <c r="AB23" i="5"/>
  <c r="AB97" i="5"/>
  <c r="AB118" i="5"/>
  <c r="V49" i="5"/>
  <c r="G49" i="5" s="1"/>
  <c r="G165" i="5"/>
  <c r="F165" i="5"/>
  <c r="R165" i="5"/>
  <c r="J165" i="5"/>
  <c r="H165" i="5"/>
  <c r="E165" i="5"/>
  <c r="X165" i="5" s="1"/>
  <c r="I165" i="5"/>
  <c r="AB119" i="5"/>
  <c r="V157" i="5"/>
  <c r="G157" i="5" s="1"/>
  <c r="V25" i="5"/>
  <c r="AB43" i="5"/>
  <c r="AB61" i="5"/>
  <c r="V78" i="5"/>
  <c r="G78" i="5"/>
  <c r="V96" i="5"/>
  <c r="G96" i="5" s="1"/>
  <c r="V114" i="5"/>
  <c r="AB132" i="5"/>
  <c r="AB150" i="5"/>
  <c r="AB168" i="5"/>
  <c r="AB186" i="5"/>
  <c r="AB21" i="5"/>
  <c r="AB38" i="5"/>
  <c r="AB56" i="5"/>
  <c r="AB74" i="5"/>
  <c r="V94" i="5"/>
  <c r="G94" i="5"/>
  <c r="V112" i="5"/>
  <c r="AB130" i="5"/>
  <c r="AB148" i="5"/>
  <c r="AB166" i="5"/>
  <c r="AB184" i="5"/>
  <c r="AB33" i="5"/>
  <c r="V189" i="5"/>
  <c r="V74" i="5"/>
  <c r="G74" i="5" s="1"/>
  <c r="V130" i="5"/>
  <c r="G130" i="5"/>
  <c r="E175" i="5"/>
  <c r="X175" i="5" s="1"/>
  <c r="F175" i="5"/>
  <c r="I175" i="5"/>
  <c r="V27" i="5"/>
  <c r="G27" i="5" s="1"/>
  <c r="AB45" i="5"/>
  <c r="AB63" i="5"/>
  <c r="V80" i="5"/>
  <c r="V98" i="5"/>
  <c r="G98" i="5"/>
  <c r="V116" i="5"/>
  <c r="AB134" i="5"/>
  <c r="AB152" i="5"/>
  <c r="AB170" i="5"/>
  <c r="AB188" i="5"/>
  <c r="AB24" i="5"/>
  <c r="AB113" i="5"/>
  <c r="AB34" i="5"/>
  <c r="V51" i="5"/>
  <c r="G51" i="5"/>
  <c r="V69" i="5"/>
  <c r="G69" i="5" s="1"/>
  <c r="AB87" i="5"/>
  <c r="AB105" i="5"/>
  <c r="V122" i="5"/>
  <c r="V140" i="5"/>
  <c r="V158" i="5"/>
  <c r="G158" i="5" s="1"/>
  <c r="V176" i="5"/>
  <c r="AB6" i="5"/>
  <c r="V52" i="5"/>
  <c r="G52" i="5"/>
  <c r="V40" i="5"/>
  <c r="G40" i="5" s="1"/>
  <c r="AB29" i="5"/>
  <c r="AB91" i="5"/>
  <c r="V67" i="5"/>
  <c r="V183" i="5"/>
  <c r="G183" i="5"/>
  <c r="AB77" i="5"/>
  <c r="V127" i="5"/>
  <c r="G127" i="5"/>
  <c r="V28" i="5"/>
  <c r="G28" i="5" s="1"/>
  <c r="AB46" i="5"/>
  <c r="AB64" i="5"/>
  <c r="V81" i="5"/>
  <c r="V99" i="5"/>
  <c r="G99" i="5"/>
  <c r="V117" i="5"/>
  <c r="G117" i="5" s="1"/>
  <c r="AB135" i="5"/>
  <c r="AB153" i="5"/>
  <c r="AB171" i="5"/>
  <c r="AB189" i="5"/>
  <c r="V23" i="5"/>
  <c r="AB41" i="5"/>
  <c r="AB59" i="5"/>
  <c r="V79" i="5"/>
  <c r="G79" i="5"/>
  <c r="V97" i="5"/>
  <c r="G97" i="5" s="1"/>
  <c r="H115" i="5"/>
  <c r="R115" i="5"/>
  <c r="E115" i="5"/>
  <c r="X115" i="5" s="1"/>
  <c r="J115" i="5"/>
  <c r="F115" i="5"/>
  <c r="I115" i="5"/>
  <c r="AB133" i="5"/>
  <c r="AB151" i="5"/>
  <c r="AB169" i="5"/>
  <c r="AB187" i="5"/>
  <c r="V47" i="5"/>
  <c r="V142" i="5"/>
  <c r="G142" i="5"/>
  <c r="V21" i="5"/>
  <c r="G21" i="5" s="1"/>
  <c r="AB86" i="5"/>
  <c r="V139" i="5"/>
  <c r="V181" i="5"/>
  <c r="G181" i="5"/>
  <c r="V30" i="5"/>
  <c r="G30" i="5"/>
  <c r="AB48" i="5"/>
  <c r="AB66" i="5"/>
  <c r="V83" i="5"/>
  <c r="V101" i="5"/>
  <c r="V119" i="5"/>
  <c r="AB137" i="5"/>
  <c r="AB155" i="5"/>
  <c r="AB173" i="5"/>
  <c r="V129" i="5"/>
  <c r="G129" i="5"/>
  <c r="AB36" i="5"/>
  <c r="V19" i="5"/>
  <c r="G19" i="5" s="1"/>
  <c r="AB37" i="5"/>
  <c r="V54" i="5"/>
  <c r="V72" i="5"/>
  <c r="G72" i="5"/>
  <c r="AB90" i="5"/>
  <c r="AB108" i="5"/>
  <c r="V125" i="5"/>
  <c r="G125" i="5"/>
  <c r="V143" i="5"/>
  <c r="G143" i="5" s="1"/>
  <c r="V161" i="5"/>
  <c r="V179" i="5"/>
  <c r="I163" i="5"/>
  <c r="I43" i="5"/>
  <c r="G71" i="5"/>
  <c r="F71" i="5"/>
  <c r="V70" i="5"/>
  <c r="V58" i="5"/>
  <c r="G58" i="5"/>
  <c r="V73" i="5"/>
  <c r="V46" i="5"/>
  <c r="V76" i="5"/>
  <c r="G76" i="5"/>
  <c r="AB85" i="5"/>
  <c r="AB27" i="5"/>
  <c r="AB89" i="5"/>
  <c r="V133" i="5"/>
  <c r="G133" i="5"/>
  <c r="V169" i="5"/>
  <c r="G169" i="5"/>
  <c r="V31" i="5"/>
  <c r="G31" i="5"/>
  <c r="AB49" i="5"/>
  <c r="AB67" i="5"/>
  <c r="V84" i="5"/>
  <c r="G84" i="5"/>
  <c r="G102" i="5"/>
  <c r="R102" i="5"/>
  <c r="J102" i="5"/>
  <c r="AB138" i="5"/>
  <c r="AB156" i="5"/>
  <c r="AB174" i="5"/>
  <c r="V135" i="5"/>
  <c r="G135" i="5"/>
  <c r="V26" i="5"/>
  <c r="G26" i="5"/>
  <c r="AB44" i="5"/>
  <c r="AB62" i="5"/>
  <c r="V82" i="5"/>
  <c r="G82" i="5"/>
  <c r="V100" i="5"/>
  <c r="V118" i="5"/>
  <c r="AB136" i="5"/>
  <c r="AB154" i="5"/>
  <c r="AB172" i="5"/>
  <c r="V132" i="5"/>
  <c r="V68" i="5"/>
  <c r="V172" i="5"/>
  <c r="AB30" i="5"/>
  <c r="AB95" i="5"/>
  <c r="V148" i="5"/>
  <c r="V187" i="5"/>
  <c r="G187" i="5"/>
  <c r="V33" i="5"/>
  <c r="AB51" i="5"/>
  <c r="AB69" i="5"/>
  <c r="V86" i="5"/>
  <c r="V104" i="5"/>
  <c r="AB122" i="5"/>
  <c r="AB140" i="5"/>
  <c r="AB158" i="5"/>
  <c r="AB176" i="5"/>
  <c r="V144" i="5"/>
  <c r="V44" i="5"/>
  <c r="V22" i="5"/>
  <c r="V39" i="5"/>
  <c r="G39" i="5"/>
  <c r="V57" i="5"/>
  <c r="V75" i="5"/>
  <c r="AB93" i="5"/>
  <c r="AB111" i="5"/>
  <c r="V128" i="5"/>
  <c r="V146" i="5"/>
  <c r="G146" i="5"/>
  <c r="V164" i="5"/>
  <c r="V182" i="5"/>
  <c r="V6" i="5"/>
  <c r="G6" i="5"/>
  <c r="J163" i="5"/>
  <c r="H43" i="5"/>
  <c r="I71" i="5"/>
  <c r="AB88" i="5"/>
  <c r="AB112" i="5"/>
  <c r="AB94" i="5"/>
  <c r="V64" i="5"/>
  <c r="AB79" i="5"/>
  <c r="AB103" i="5"/>
  <c r="V38" i="5"/>
  <c r="AB98" i="5"/>
  <c r="V178" i="5"/>
  <c r="G178" i="5"/>
  <c r="V34" i="5"/>
  <c r="G34" i="5"/>
  <c r="AB52" i="5"/>
  <c r="AB70" i="5"/>
  <c r="V105" i="5"/>
  <c r="AB123" i="5"/>
  <c r="AB141" i="5"/>
  <c r="AB159" i="5"/>
  <c r="AB177" i="5"/>
  <c r="V147" i="5"/>
  <c r="V29" i="5"/>
  <c r="AB47" i="5"/>
  <c r="AB65" i="5"/>
  <c r="V85" i="5"/>
  <c r="G85" i="5"/>
  <c r="V103" i="5"/>
  <c r="AB121" i="5"/>
  <c r="AB139" i="5"/>
  <c r="AB157" i="5"/>
  <c r="S175" i="5"/>
  <c r="T175" i="5"/>
  <c r="AB175" i="5"/>
  <c r="V153" i="5"/>
  <c r="G153" i="5"/>
  <c r="AB83" i="5"/>
  <c r="V138" i="5"/>
  <c r="V41" i="5"/>
  <c r="AB104" i="5"/>
  <c r="V154" i="5"/>
  <c r="G154" i="5"/>
  <c r="AB19" i="5"/>
  <c r="V36" i="5"/>
  <c r="AB54" i="5"/>
  <c r="AB72" i="5"/>
  <c r="V89" i="5"/>
  <c r="V107" i="5"/>
  <c r="G107" i="5"/>
  <c r="AB125" i="5"/>
  <c r="AB143" i="5"/>
  <c r="AB161" i="5"/>
  <c r="AB179" i="5"/>
  <c r="V159" i="5"/>
  <c r="V56" i="5"/>
  <c r="AB25" i="5"/>
  <c r="V42" i="5"/>
  <c r="G42" i="5"/>
  <c r="V60" i="5"/>
  <c r="G60" i="5"/>
  <c r="AB78" i="5"/>
  <c r="AB96" i="5"/>
  <c r="AB114" i="5"/>
  <c r="V131" i="5"/>
  <c r="V149" i="5"/>
  <c r="G149" i="5"/>
  <c r="V167" i="5"/>
  <c r="V185" i="5"/>
  <c r="R163" i="5"/>
  <c r="J71" i="5"/>
  <c r="AB106" i="5"/>
  <c r="V55" i="5"/>
  <c r="G55" i="5"/>
  <c r="AB26" i="5"/>
  <c r="AB82" i="5"/>
  <c r="AB115" i="5"/>
  <c r="V141" i="5"/>
  <c r="V50" i="5"/>
  <c r="G50" i="5"/>
  <c r="AB101" i="5"/>
  <c r="V145" i="5"/>
  <c r="G145" i="5"/>
  <c r="V184" i="5"/>
  <c r="V37" i="5"/>
  <c r="AB55" i="5"/>
  <c r="AB73" i="5"/>
  <c r="V90" i="5"/>
  <c r="AB126" i="5"/>
  <c r="AB144" i="5"/>
  <c r="AB162" i="5"/>
  <c r="AB180" i="5"/>
  <c r="V162" i="5"/>
  <c r="G162" i="5"/>
  <c r="V32" i="5"/>
  <c r="AB50" i="5"/>
  <c r="AB68" i="5"/>
  <c r="V88" i="5"/>
  <c r="V106" i="5"/>
  <c r="G106" i="5"/>
  <c r="AB124" i="5"/>
  <c r="AB142" i="5"/>
  <c r="AB160" i="5"/>
  <c r="AB178" i="5"/>
  <c r="V168" i="5"/>
  <c r="AB92" i="5"/>
  <c r="V156" i="5"/>
  <c r="V53" i="5"/>
  <c r="G53" i="5"/>
  <c r="AB116" i="5"/>
  <c r="V160" i="5"/>
  <c r="AB22" i="5"/>
  <c r="AB39" i="5"/>
  <c r="AB57" i="5"/>
  <c r="AB75" i="5"/>
  <c r="V92" i="5"/>
  <c r="G92" i="5"/>
  <c r="V110" i="5"/>
  <c r="G110" i="5"/>
  <c r="AB128" i="5"/>
  <c r="AB146" i="5"/>
  <c r="AB164" i="5"/>
  <c r="AB182" i="5"/>
  <c r="V171" i="5"/>
  <c r="G171" i="5"/>
  <c r="V65" i="5"/>
  <c r="AB28" i="5"/>
  <c r="V45" i="5"/>
  <c r="G45" i="5"/>
  <c r="V63" i="5"/>
  <c r="AB81" i="5"/>
  <c r="AB99" i="5"/>
  <c r="AB117" i="5"/>
  <c r="V134" i="5"/>
  <c r="G134" i="5" s="1"/>
  <c r="V152" i="5"/>
  <c r="V170" i="5"/>
  <c r="V188" i="5"/>
  <c r="V5" i="5"/>
  <c r="G5" i="5" s="1"/>
  <c r="G163" i="5"/>
  <c r="G43" i="5"/>
  <c r="R43" i="5"/>
  <c r="V123" i="5"/>
  <c r="G123" i="5"/>
  <c r="AB109" i="5"/>
  <c r="V61" i="5"/>
  <c r="G61" i="5"/>
  <c r="AB100" i="5"/>
  <c r="AB32" i="5"/>
  <c r="V150" i="5"/>
  <c r="G150" i="5" s="1"/>
  <c r="V59" i="5"/>
  <c r="G59" i="5"/>
  <c r="AB110" i="5"/>
  <c r="AB20" i="5"/>
  <c r="AB40" i="5"/>
  <c r="AB58" i="5"/>
  <c r="AB76" i="5"/>
  <c r="V93" i="5"/>
  <c r="V111" i="5"/>
  <c r="AB129" i="5"/>
  <c r="AB147" i="5"/>
  <c r="AB165" i="5"/>
  <c r="AB183" i="5"/>
  <c r="V35" i="5"/>
  <c r="G35" i="5"/>
  <c r="AB53" i="5"/>
  <c r="AB71" i="5"/>
  <c r="V91" i="5"/>
  <c r="V109" i="5"/>
  <c r="G109" i="5"/>
  <c r="AB127" i="5"/>
  <c r="AB145" i="5"/>
  <c r="AB163" i="5"/>
  <c r="AB181" i="5"/>
  <c r="V186" i="5"/>
  <c r="G186" i="5"/>
  <c r="AB107" i="5"/>
  <c r="V174" i="5"/>
  <c r="V62" i="5"/>
  <c r="G62" i="5"/>
  <c r="V121" i="5"/>
  <c r="V166" i="5"/>
  <c r="V24" i="5"/>
  <c r="G24" i="5"/>
  <c r="AB42" i="5"/>
  <c r="AB60" i="5"/>
  <c r="V77" i="5"/>
  <c r="V95" i="5"/>
  <c r="V113" i="5"/>
  <c r="G113" i="5"/>
  <c r="AB131" i="5"/>
  <c r="AB149" i="5"/>
  <c r="AB167" i="5"/>
  <c r="AB185" i="5"/>
  <c r="V177" i="5"/>
  <c r="AB80" i="5"/>
  <c r="AB31" i="5"/>
  <c r="V48" i="5"/>
  <c r="V66" i="5"/>
  <c r="G66" i="5"/>
  <c r="AB84" i="5"/>
  <c r="AB102" i="5"/>
  <c r="AB120" i="5"/>
  <c r="V137" i="5"/>
  <c r="G137" i="5"/>
  <c r="V155" i="5"/>
  <c r="G155" i="5"/>
  <c r="V173" i="5"/>
  <c r="G173" i="5"/>
  <c r="V20" i="5"/>
  <c r="G20" i="5"/>
  <c r="AB5" i="5"/>
  <c r="V18" i="5"/>
  <c r="G18" i="5"/>
  <c r="H44" i="6"/>
  <c r="D44" i="6" s="1"/>
  <c r="H45" i="6"/>
  <c r="D45" i="6" s="1"/>
  <c r="H40" i="6"/>
  <c r="D40" i="6" s="1"/>
  <c r="H46" i="6"/>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S87" i="5"/>
  <c r="S180" i="5"/>
  <c r="S102" i="5"/>
  <c r="S71" i="5"/>
  <c r="T136" i="5"/>
  <c r="T165" i="5"/>
  <c r="T43" i="5"/>
  <c r="S43" i="5"/>
  <c r="T151" i="5"/>
  <c r="T108" i="5"/>
  <c r="S151" i="5"/>
  <c r="T180" i="5"/>
  <c r="S124" i="5"/>
  <c r="T87" i="5"/>
  <c r="S108" i="5"/>
  <c r="S136" i="5"/>
  <c r="T120" i="5"/>
  <c r="S120" i="5"/>
  <c r="T115" i="5"/>
  <c r="T71" i="5"/>
  <c r="T124" i="5"/>
  <c r="T163" i="5"/>
  <c r="S115" i="5"/>
  <c r="S165" i="5"/>
  <c r="S163" i="5"/>
  <c r="T102" i="5"/>
  <c r="R48" i="5" l="1"/>
  <c r="I48" i="5"/>
  <c r="J48" i="5"/>
  <c r="E48" i="5"/>
  <c r="H48" i="5"/>
  <c r="F48" i="5"/>
  <c r="G48" i="5"/>
  <c r="R121" i="5"/>
  <c r="I121" i="5"/>
  <c r="E121" i="5"/>
  <c r="J121" i="5"/>
  <c r="F121" i="5"/>
  <c r="H121" i="5"/>
  <c r="G121" i="5"/>
  <c r="J111" i="5"/>
  <c r="R111" i="5"/>
  <c r="H111" i="5"/>
  <c r="F111" i="5"/>
  <c r="E111" i="5"/>
  <c r="I111" i="5"/>
  <c r="G111" i="5"/>
  <c r="H63" i="5"/>
  <c r="E63" i="5"/>
  <c r="I63" i="5"/>
  <c r="F63" i="5"/>
  <c r="J63" i="5"/>
  <c r="R63" i="5"/>
  <c r="G63" i="5"/>
  <c r="R65" i="5"/>
  <c r="E65" i="5"/>
  <c r="I65" i="5"/>
  <c r="H65" i="5"/>
  <c r="J65" i="5"/>
  <c r="F65" i="5"/>
  <c r="R105" i="5"/>
  <c r="E105" i="5"/>
  <c r="F105" i="5"/>
  <c r="J105" i="5"/>
  <c r="I105" i="5"/>
  <c r="H105" i="5"/>
  <c r="E146" i="5"/>
  <c r="F146" i="5"/>
  <c r="R146" i="5"/>
  <c r="I146" i="5"/>
  <c r="H146" i="5"/>
  <c r="J146" i="5"/>
  <c r="R57" i="5"/>
  <c r="E57" i="5"/>
  <c r="I57" i="5"/>
  <c r="H57" i="5"/>
  <c r="F57" i="5"/>
  <c r="J57" i="5"/>
  <c r="G57" i="5"/>
  <c r="H54" i="5"/>
  <c r="R54" i="5"/>
  <c r="I54" i="5"/>
  <c r="E54" i="5"/>
  <c r="F54" i="5"/>
  <c r="J54" i="5"/>
  <c r="G54" i="5"/>
  <c r="F83" i="5"/>
  <c r="E83" i="5"/>
  <c r="H83" i="5"/>
  <c r="R83" i="5"/>
  <c r="I83" i="5"/>
  <c r="J83" i="5"/>
  <c r="G83" i="5"/>
  <c r="R155" i="5"/>
  <c r="J155" i="5"/>
  <c r="I155" i="5"/>
  <c r="E155" i="5"/>
  <c r="H155" i="5"/>
  <c r="F155" i="5"/>
  <c r="I170" i="5"/>
  <c r="E170" i="5"/>
  <c r="F170" i="5"/>
  <c r="R170" i="5"/>
  <c r="J170" i="5"/>
  <c r="H170" i="5"/>
  <c r="G170" i="5"/>
  <c r="R185" i="5"/>
  <c r="J185" i="5"/>
  <c r="E185" i="5"/>
  <c r="I185" i="5"/>
  <c r="H185" i="5"/>
  <c r="F185" i="5"/>
  <c r="G185" i="5"/>
  <c r="R56" i="5"/>
  <c r="H56" i="5"/>
  <c r="J56" i="5"/>
  <c r="I56" i="5"/>
  <c r="F56" i="5"/>
  <c r="E56" i="5"/>
  <c r="G56" i="5"/>
  <c r="I93" i="5"/>
  <c r="E93" i="5"/>
  <c r="R93" i="5"/>
  <c r="F93" i="5"/>
  <c r="H93" i="5"/>
  <c r="J93" i="5"/>
  <c r="G93" i="5"/>
  <c r="E150" i="5"/>
  <c r="R150" i="5"/>
  <c r="F150" i="5"/>
  <c r="H150" i="5"/>
  <c r="J150" i="5"/>
  <c r="I150" i="5"/>
  <c r="H168" i="5"/>
  <c r="F168" i="5"/>
  <c r="R168" i="5"/>
  <c r="G168" i="5"/>
  <c r="I168" i="5"/>
  <c r="E168" i="5"/>
  <c r="J168" i="5"/>
  <c r="H29" i="5"/>
  <c r="J29" i="5"/>
  <c r="R29" i="5"/>
  <c r="I29" i="5"/>
  <c r="F29" i="5"/>
  <c r="E29" i="5"/>
  <c r="G29" i="5"/>
  <c r="R33" i="5"/>
  <c r="E33" i="5"/>
  <c r="I33" i="5"/>
  <c r="F33" i="5"/>
  <c r="J33" i="5"/>
  <c r="H33" i="5"/>
  <c r="G33" i="5"/>
  <c r="G91" i="5"/>
  <c r="F91" i="5"/>
  <c r="H91" i="5"/>
  <c r="R91" i="5"/>
  <c r="E91" i="5"/>
  <c r="I91" i="5"/>
  <c r="J91" i="5"/>
  <c r="R92" i="5"/>
  <c r="I92" i="5"/>
  <c r="H92" i="5"/>
  <c r="J92" i="5"/>
  <c r="F92" i="5"/>
  <c r="E92" i="5"/>
  <c r="R37" i="5"/>
  <c r="I37" i="5"/>
  <c r="E37" i="5"/>
  <c r="J37" i="5"/>
  <c r="H37" i="5"/>
  <c r="F37" i="5"/>
  <c r="G37" i="5"/>
  <c r="J167" i="5"/>
  <c r="H167" i="5"/>
  <c r="R167" i="5"/>
  <c r="F167" i="5"/>
  <c r="I167" i="5"/>
  <c r="E167" i="5"/>
  <c r="G167" i="5"/>
  <c r="J159" i="5"/>
  <c r="I159" i="5"/>
  <c r="F159" i="5"/>
  <c r="H159" i="5"/>
  <c r="R159" i="5"/>
  <c r="E159" i="5"/>
  <c r="G159" i="5"/>
  <c r="I135" i="5"/>
  <c r="H135" i="5"/>
  <c r="E135" i="5"/>
  <c r="F135" i="5"/>
  <c r="J135" i="5"/>
  <c r="R135" i="5"/>
  <c r="F139" i="5"/>
  <c r="H139" i="5"/>
  <c r="R139" i="5"/>
  <c r="J139" i="5"/>
  <c r="E139" i="5"/>
  <c r="I139" i="5"/>
  <c r="G139" i="5"/>
  <c r="H95" i="5"/>
  <c r="F95" i="5"/>
  <c r="I95" i="5"/>
  <c r="J95" i="5"/>
  <c r="E95" i="5"/>
  <c r="R95" i="5"/>
  <c r="G95" i="5"/>
  <c r="I174" i="5"/>
  <c r="H174" i="5"/>
  <c r="E174" i="5"/>
  <c r="J174" i="5"/>
  <c r="F174" i="5"/>
  <c r="R174" i="5"/>
  <c r="G174" i="5"/>
  <c r="R53" i="5"/>
  <c r="I53" i="5"/>
  <c r="F53" i="5"/>
  <c r="E53" i="5"/>
  <c r="J53" i="5"/>
  <c r="H53" i="5"/>
  <c r="H90" i="5"/>
  <c r="I90" i="5"/>
  <c r="R90" i="5"/>
  <c r="E90" i="5"/>
  <c r="J90" i="5"/>
  <c r="F90" i="5"/>
  <c r="G90" i="5"/>
  <c r="G184" i="5"/>
  <c r="R184" i="5"/>
  <c r="I184" i="5"/>
  <c r="J184" i="5"/>
  <c r="H184" i="5"/>
  <c r="F184" i="5"/>
  <c r="E184" i="5"/>
  <c r="E89" i="5"/>
  <c r="I89" i="5"/>
  <c r="R89" i="5"/>
  <c r="H89" i="5"/>
  <c r="F89" i="5"/>
  <c r="J89" i="5"/>
  <c r="G89" i="5"/>
  <c r="R36" i="5"/>
  <c r="J36" i="5"/>
  <c r="F36" i="5"/>
  <c r="I36" i="5"/>
  <c r="H36" i="5"/>
  <c r="E36" i="5"/>
  <c r="G36" i="5"/>
  <c r="R41" i="5"/>
  <c r="I41" i="5"/>
  <c r="E41" i="5"/>
  <c r="H41" i="5"/>
  <c r="J41" i="5"/>
  <c r="F41" i="5"/>
  <c r="G41" i="5"/>
  <c r="R68" i="5"/>
  <c r="I68" i="5"/>
  <c r="J68" i="5"/>
  <c r="H68" i="5"/>
  <c r="F68" i="5"/>
  <c r="E68" i="5"/>
  <c r="G68" i="5"/>
  <c r="I18" i="5"/>
  <c r="E18" i="5"/>
  <c r="J18" i="5"/>
  <c r="H18" i="5"/>
  <c r="R18" i="5"/>
  <c r="F18" i="5"/>
  <c r="F173" i="5"/>
  <c r="J173" i="5"/>
  <c r="R173" i="5"/>
  <c r="E173" i="5"/>
  <c r="H173" i="5"/>
  <c r="I173" i="5"/>
  <c r="R77" i="5"/>
  <c r="I77" i="5"/>
  <c r="E77" i="5"/>
  <c r="F77" i="5"/>
  <c r="J77" i="5"/>
  <c r="H77" i="5"/>
  <c r="G77" i="5"/>
  <c r="I134" i="5"/>
  <c r="E134" i="5"/>
  <c r="H134" i="5"/>
  <c r="R134" i="5"/>
  <c r="F134" i="5"/>
  <c r="J134" i="5"/>
  <c r="R141" i="5"/>
  <c r="I141" i="5"/>
  <c r="H141" i="5"/>
  <c r="F141" i="5"/>
  <c r="J141" i="5"/>
  <c r="E141" i="5"/>
  <c r="G141" i="5"/>
  <c r="I138" i="5"/>
  <c r="R138" i="5"/>
  <c r="E138" i="5"/>
  <c r="J138" i="5"/>
  <c r="F138" i="5"/>
  <c r="H138" i="5"/>
  <c r="G138" i="5"/>
  <c r="R64" i="5"/>
  <c r="I64" i="5"/>
  <c r="F64" i="5"/>
  <c r="E64" i="5"/>
  <c r="H64" i="5"/>
  <c r="J64" i="5"/>
  <c r="G64" i="5"/>
  <c r="R44" i="5"/>
  <c r="I44" i="5"/>
  <c r="F44" i="5"/>
  <c r="E44" i="5"/>
  <c r="J44" i="5"/>
  <c r="H44" i="5"/>
  <c r="G44" i="5"/>
  <c r="G132" i="5"/>
  <c r="H132" i="5"/>
  <c r="F132" i="5"/>
  <c r="R132" i="5"/>
  <c r="I132" i="5"/>
  <c r="E132" i="5"/>
  <c r="J132" i="5"/>
  <c r="F118" i="5"/>
  <c r="E118" i="5"/>
  <c r="J118" i="5"/>
  <c r="I118" i="5"/>
  <c r="R118" i="5"/>
  <c r="H118" i="5"/>
  <c r="G118" i="5"/>
  <c r="H143" i="5"/>
  <c r="E143" i="5"/>
  <c r="R143" i="5"/>
  <c r="J143" i="5"/>
  <c r="F143" i="5"/>
  <c r="I143" i="5"/>
  <c r="F177" i="5"/>
  <c r="E177" i="5"/>
  <c r="R177" i="5"/>
  <c r="H177" i="5"/>
  <c r="J177" i="5"/>
  <c r="I177" i="5"/>
  <c r="G177" i="5"/>
  <c r="H166" i="5"/>
  <c r="I166" i="5"/>
  <c r="R166" i="5"/>
  <c r="E166" i="5"/>
  <c r="F166" i="5"/>
  <c r="J166" i="5"/>
  <c r="G166" i="5"/>
  <c r="H5" i="5"/>
  <c r="R5" i="5"/>
  <c r="E5" i="5"/>
  <c r="I5" i="5"/>
  <c r="F5" i="5"/>
  <c r="J5" i="5"/>
  <c r="G65" i="5"/>
  <c r="R88" i="5"/>
  <c r="I88" i="5"/>
  <c r="E88" i="5"/>
  <c r="J88" i="5"/>
  <c r="H88" i="5"/>
  <c r="F88" i="5"/>
  <c r="G88" i="5"/>
  <c r="R32" i="5"/>
  <c r="I32" i="5"/>
  <c r="E32" i="5"/>
  <c r="F32" i="5"/>
  <c r="H32" i="5"/>
  <c r="J32" i="5"/>
  <c r="G32" i="5"/>
  <c r="F131" i="5"/>
  <c r="E131" i="5"/>
  <c r="I131" i="5"/>
  <c r="R131" i="5"/>
  <c r="H131" i="5"/>
  <c r="J131" i="5"/>
  <c r="G131" i="5"/>
  <c r="E103" i="5"/>
  <c r="F103" i="5"/>
  <c r="I103" i="5"/>
  <c r="J103" i="5"/>
  <c r="R103" i="5"/>
  <c r="G103" i="5"/>
  <c r="H103" i="5"/>
  <c r="G105" i="5"/>
  <c r="E144" i="5"/>
  <c r="R144" i="5"/>
  <c r="J144" i="5"/>
  <c r="H144" i="5"/>
  <c r="F144" i="5"/>
  <c r="I144" i="5"/>
  <c r="G144" i="5"/>
  <c r="I100" i="5"/>
  <c r="J100" i="5"/>
  <c r="G100" i="5"/>
  <c r="E100" i="5"/>
  <c r="H100" i="5"/>
  <c r="F100" i="5"/>
  <c r="R100" i="5"/>
  <c r="E169" i="5"/>
  <c r="F169" i="5"/>
  <c r="R169" i="5"/>
  <c r="J169" i="5"/>
  <c r="I169" i="5"/>
  <c r="H169" i="5"/>
  <c r="R73" i="5"/>
  <c r="E73" i="5"/>
  <c r="I73" i="5"/>
  <c r="F73" i="5"/>
  <c r="J73" i="5"/>
  <c r="H73" i="5"/>
  <c r="G73" i="5"/>
  <c r="H38" i="5"/>
  <c r="R38" i="5"/>
  <c r="I38" i="5"/>
  <c r="E38" i="5"/>
  <c r="J38" i="5"/>
  <c r="F38" i="5"/>
  <c r="E182" i="5"/>
  <c r="J182" i="5"/>
  <c r="H182" i="5"/>
  <c r="I182" i="5"/>
  <c r="F182" i="5"/>
  <c r="R182" i="5"/>
  <c r="H75" i="5"/>
  <c r="R75" i="5"/>
  <c r="E75" i="5"/>
  <c r="J75" i="5"/>
  <c r="F75" i="5"/>
  <c r="I75" i="5"/>
  <c r="I22" i="5"/>
  <c r="R22" i="5"/>
  <c r="H22" i="5"/>
  <c r="E22" i="5"/>
  <c r="F22" i="5"/>
  <c r="J22" i="5"/>
  <c r="H86" i="5"/>
  <c r="R86" i="5"/>
  <c r="J86" i="5"/>
  <c r="I86" i="5"/>
  <c r="E86" i="5"/>
  <c r="F86" i="5"/>
  <c r="G172" i="5"/>
  <c r="H172" i="5"/>
  <c r="R172" i="5"/>
  <c r="F172" i="5"/>
  <c r="I172" i="5"/>
  <c r="E172" i="5"/>
  <c r="J172" i="5"/>
  <c r="R46" i="5"/>
  <c r="H46" i="5"/>
  <c r="I46" i="5"/>
  <c r="E46" i="5"/>
  <c r="F46" i="5"/>
  <c r="J46" i="5"/>
  <c r="H70" i="5"/>
  <c r="I70" i="5"/>
  <c r="E70" i="5"/>
  <c r="R70" i="5"/>
  <c r="J70" i="5"/>
  <c r="F70" i="5"/>
  <c r="H179" i="5"/>
  <c r="F179" i="5"/>
  <c r="E179" i="5"/>
  <c r="R179" i="5"/>
  <c r="J179" i="5"/>
  <c r="I179" i="5"/>
  <c r="E119" i="5"/>
  <c r="R119" i="5"/>
  <c r="J119" i="5"/>
  <c r="H119" i="5"/>
  <c r="I119" i="5"/>
  <c r="F119" i="5"/>
  <c r="E47" i="5"/>
  <c r="I47" i="5"/>
  <c r="F47" i="5"/>
  <c r="H47" i="5"/>
  <c r="R47" i="5"/>
  <c r="J47" i="5"/>
  <c r="H23" i="5"/>
  <c r="F23" i="5"/>
  <c r="I23" i="5"/>
  <c r="J23" i="5"/>
  <c r="R23" i="5"/>
  <c r="E23" i="5"/>
  <c r="R81" i="5"/>
  <c r="E81" i="5"/>
  <c r="I81" i="5"/>
  <c r="F81" i="5"/>
  <c r="H81" i="5"/>
  <c r="J81" i="5"/>
  <c r="I67" i="5"/>
  <c r="F67" i="5"/>
  <c r="H67" i="5"/>
  <c r="R67" i="5"/>
  <c r="E67" i="5"/>
  <c r="J67" i="5"/>
  <c r="I122" i="5"/>
  <c r="R122" i="5"/>
  <c r="F122" i="5"/>
  <c r="E122" i="5"/>
  <c r="J122" i="5"/>
  <c r="H122" i="5"/>
  <c r="R80" i="5"/>
  <c r="J80" i="5"/>
  <c r="I80" i="5"/>
  <c r="E80" i="5"/>
  <c r="H80" i="5"/>
  <c r="F80" i="5"/>
  <c r="E114" i="5"/>
  <c r="J114" i="5"/>
  <c r="H114" i="5"/>
  <c r="I114" i="5"/>
  <c r="F114" i="5"/>
  <c r="R114" i="5"/>
  <c r="H25" i="5"/>
  <c r="F25" i="5"/>
  <c r="E25" i="5"/>
  <c r="I25" i="5"/>
  <c r="J25" i="5"/>
  <c r="R25" i="5"/>
  <c r="R109" i="5"/>
  <c r="F109" i="5"/>
  <c r="J109" i="5"/>
  <c r="I109" i="5"/>
  <c r="H109" i="5"/>
  <c r="E109" i="5"/>
  <c r="H59" i="5"/>
  <c r="J59" i="5"/>
  <c r="R59" i="5"/>
  <c r="E59" i="5"/>
  <c r="I59" i="5"/>
  <c r="F59" i="5"/>
  <c r="H152" i="5"/>
  <c r="G152" i="5"/>
  <c r="F152" i="5"/>
  <c r="I152" i="5"/>
  <c r="E152" i="5"/>
  <c r="R152" i="5"/>
  <c r="J152" i="5"/>
  <c r="I110" i="5"/>
  <c r="E110" i="5"/>
  <c r="H110" i="5"/>
  <c r="R110" i="5"/>
  <c r="F110" i="5"/>
  <c r="J110" i="5"/>
  <c r="E42" i="5"/>
  <c r="I42" i="5"/>
  <c r="R42" i="5"/>
  <c r="H42" i="5"/>
  <c r="J42" i="5"/>
  <c r="F42" i="5"/>
  <c r="I154" i="5"/>
  <c r="R154" i="5"/>
  <c r="H154" i="5"/>
  <c r="J154" i="5"/>
  <c r="E154" i="5"/>
  <c r="F154" i="5"/>
  <c r="R153" i="5"/>
  <c r="J153" i="5"/>
  <c r="I153" i="5"/>
  <c r="H153" i="5"/>
  <c r="E153" i="5"/>
  <c r="F153" i="5"/>
  <c r="G147" i="5"/>
  <c r="H147" i="5"/>
  <c r="I147" i="5"/>
  <c r="F147" i="5"/>
  <c r="J147" i="5"/>
  <c r="E147" i="5"/>
  <c r="R147" i="5"/>
  <c r="R178" i="5"/>
  <c r="J178" i="5"/>
  <c r="E178" i="5"/>
  <c r="H178" i="5"/>
  <c r="F178" i="5"/>
  <c r="I178" i="5"/>
  <c r="H164" i="5"/>
  <c r="F164" i="5"/>
  <c r="E164" i="5"/>
  <c r="R164" i="5"/>
  <c r="I164" i="5"/>
  <c r="J164" i="5"/>
  <c r="G164" i="5"/>
  <c r="I26" i="5"/>
  <c r="E26" i="5"/>
  <c r="J26" i="5"/>
  <c r="R26" i="5"/>
  <c r="H26" i="5"/>
  <c r="F26" i="5"/>
  <c r="I31" i="5"/>
  <c r="F31" i="5"/>
  <c r="H31" i="5"/>
  <c r="E31" i="5"/>
  <c r="R31" i="5"/>
  <c r="J31" i="5"/>
  <c r="G161" i="5"/>
  <c r="E161" i="5"/>
  <c r="J161" i="5"/>
  <c r="F161" i="5"/>
  <c r="H161" i="5"/>
  <c r="I161" i="5"/>
  <c r="R161" i="5"/>
  <c r="R72" i="5"/>
  <c r="I72" i="5"/>
  <c r="H72" i="5"/>
  <c r="J72" i="5"/>
  <c r="F72" i="5"/>
  <c r="E72" i="5"/>
  <c r="E129" i="5"/>
  <c r="F129" i="5"/>
  <c r="J129" i="5"/>
  <c r="I129" i="5"/>
  <c r="H129" i="5"/>
  <c r="R129" i="5"/>
  <c r="G101" i="5"/>
  <c r="F101" i="5"/>
  <c r="R101" i="5"/>
  <c r="J101" i="5"/>
  <c r="H101" i="5"/>
  <c r="E101" i="5"/>
  <c r="I101" i="5"/>
  <c r="E181" i="5"/>
  <c r="J181" i="5"/>
  <c r="R181" i="5"/>
  <c r="H181" i="5"/>
  <c r="F181" i="5"/>
  <c r="I181" i="5"/>
  <c r="G176" i="5"/>
  <c r="I176" i="5"/>
  <c r="E176" i="5"/>
  <c r="J176" i="5"/>
  <c r="H176" i="5"/>
  <c r="F176" i="5"/>
  <c r="R176" i="5"/>
  <c r="I130" i="5"/>
  <c r="E130" i="5"/>
  <c r="J130" i="5"/>
  <c r="R130" i="5"/>
  <c r="H130" i="5"/>
  <c r="F130" i="5"/>
  <c r="I126" i="5"/>
  <c r="E126" i="5"/>
  <c r="F126" i="5"/>
  <c r="R126" i="5"/>
  <c r="H126" i="5"/>
  <c r="J126" i="5"/>
  <c r="E19" i="5"/>
  <c r="H19" i="5"/>
  <c r="R19" i="5"/>
  <c r="I19" i="5"/>
  <c r="J19" i="5"/>
  <c r="F19" i="5"/>
  <c r="H21" i="5"/>
  <c r="J21" i="5"/>
  <c r="R21" i="5"/>
  <c r="F21" i="5"/>
  <c r="E21" i="5"/>
  <c r="I21" i="5"/>
  <c r="E97" i="5"/>
  <c r="R97" i="5"/>
  <c r="I97" i="5"/>
  <c r="F97" i="5"/>
  <c r="J97" i="5"/>
  <c r="H97" i="5"/>
  <c r="J117" i="5"/>
  <c r="I117" i="5"/>
  <c r="H117" i="5"/>
  <c r="F117" i="5"/>
  <c r="E117" i="5"/>
  <c r="R117" i="5"/>
  <c r="R40" i="5"/>
  <c r="I40" i="5"/>
  <c r="H40" i="5"/>
  <c r="J40" i="5"/>
  <c r="E40" i="5"/>
  <c r="F40" i="5"/>
  <c r="R69" i="5"/>
  <c r="I69" i="5"/>
  <c r="F69" i="5"/>
  <c r="E69" i="5"/>
  <c r="J69" i="5"/>
  <c r="H69" i="5"/>
  <c r="G116" i="5"/>
  <c r="J116" i="5"/>
  <c r="H116" i="5"/>
  <c r="F116" i="5"/>
  <c r="R116" i="5"/>
  <c r="I116" i="5"/>
  <c r="E116" i="5"/>
  <c r="R27" i="5"/>
  <c r="J27" i="5"/>
  <c r="H27" i="5"/>
  <c r="E27" i="5"/>
  <c r="I27" i="5"/>
  <c r="F27" i="5"/>
  <c r="G112" i="5"/>
  <c r="R112" i="5"/>
  <c r="E112" i="5"/>
  <c r="I112" i="5"/>
  <c r="J112" i="5"/>
  <c r="H112" i="5"/>
  <c r="F112" i="5"/>
  <c r="R96" i="5"/>
  <c r="I96" i="5"/>
  <c r="F96" i="5"/>
  <c r="H96" i="5"/>
  <c r="J96" i="5"/>
  <c r="E96" i="5"/>
  <c r="R157" i="5"/>
  <c r="E157" i="5"/>
  <c r="J157" i="5"/>
  <c r="F157" i="5"/>
  <c r="H157" i="5"/>
  <c r="I157" i="5"/>
  <c r="R49" i="5"/>
  <c r="F49" i="5"/>
  <c r="E49" i="5"/>
  <c r="I49" i="5"/>
  <c r="J49" i="5"/>
  <c r="H49" i="5"/>
  <c r="E28" i="5"/>
  <c r="F28" i="5"/>
  <c r="I28" i="5"/>
  <c r="R28" i="5"/>
  <c r="J28" i="5"/>
  <c r="H28" i="5"/>
  <c r="I158" i="5"/>
  <c r="E158" i="5"/>
  <c r="H158" i="5"/>
  <c r="F158" i="5"/>
  <c r="R158" i="5"/>
  <c r="J158" i="5"/>
  <c r="E74" i="5"/>
  <c r="H74" i="5"/>
  <c r="I74" i="5"/>
  <c r="R74" i="5"/>
  <c r="F74" i="5"/>
  <c r="J74" i="5"/>
  <c r="R45" i="5"/>
  <c r="E45" i="5"/>
  <c r="I45" i="5"/>
  <c r="F45" i="5"/>
  <c r="H45" i="5"/>
  <c r="J45" i="5"/>
  <c r="G160" i="5"/>
  <c r="H160" i="5"/>
  <c r="F160" i="5"/>
  <c r="R160" i="5"/>
  <c r="I160" i="5"/>
  <c r="E160" i="5"/>
  <c r="J160" i="5"/>
  <c r="E106" i="5"/>
  <c r="I106" i="5"/>
  <c r="F106" i="5"/>
  <c r="J106" i="5"/>
  <c r="R106" i="5"/>
  <c r="H106" i="5"/>
  <c r="I149" i="5"/>
  <c r="H149" i="5"/>
  <c r="E149" i="5"/>
  <c r="J149" i="5"/>
  <c r="R149" i="5"/>
  <c r="F149" i="5"/>
  <c r="R85" i="5"/>
  <c r="I85" i="5"/>
  <c r="J85" i="5"/>
  <c r="E85" i="5"/>
  <c r="H85" i="5"/>
  <c r="F85" i="5"/>
  <c r="H39" i="5"/>
  <c r="F39" i="5"/>
  <c r="I39" i="5"/>
  <c r="J39" i="5"/>
  <c r="E39" i="5"/>
  <c r="R39" i="5"/>
  <c r="G104" i="5"/>
  <c r="J104" i="5"/>
  <c r="H104" i="5"/>
  <c r="F104" i="5"/>
  <c r="R104" i="5"/>
  <c r="I104" i="5"/>
  <c r="E104" i="5"/>
  <c r="J187" i="5"/>
  <c r="R187" i="5"/>
  <c r="I187" i="5"/>
  <c r="E187" i="5"/>
  <c r="H187" i="5"/>
  <c r="F187" i="5"/>
  <c r="R76" i="5"/>
  <c r="I76" i="5"/>
  <c r="J76" i="5"/>
  <c r="F76" i="5"/>
  <c r="E76" i="5"/>
  <c r="H76" i="5"/>
  <c r="E58" i="5"/>
  <c r="I58" i="5"/>
  <c r="R58" i="5"/>
  <c r="H58" i="5"/>
  <c r="F58" i="5"/>
  <c r="J58" i="5"/>
  <c r="I142" i="5"/>
  <c r="H142" i="5"/>
  <c r="E142" i="5"/>
  <c r="F142" i="5"/>
  <c r="R142" i="5"/>
  <c r="J142" i="5"/>
  <c r="H79" i="5"/>
  <c r="R79" i="5"/>
  <c r="F79" i="5"/>
  <c r="E79" i="5"/>
  <c r="I79" i="5"/>
  <c r="J79" i="5"/>
  <c r="I99" i="5"/>
  <c r="F99" i="5"/>
  <c r="H99" i="5"/>
  <c r="R99" i="5"/>
  <c r="E99" i="5"/>
  <c r="J99" i="5"/>
  <c r="E183" i="5"/>
  <c r="I183" i="5"/>
  <c r="R183" i="5"/>
  <c r="J183" i="5"/>
  <c r="F183" i="5"/>
  <c r="H183" i="5"/>
  <c r="R52" i="5"/>
  <c r="I52" i="5"/>
  <c r="H52" i="5"/>
  <c r="E52" i="5"/>
  <c r="J52" i="5"/>
  <c r="F52" i="5"/>
  <c r="G140" i="5"/>
  <c r="E140" i="5"/>
  <c r="F140" i="5"/>
  <c r="R140" i="5"/>
  <c r="J140" i="5"/>
  <c r="H140" i="5"/>
  <c r="I140" i="5"/>
  <c r="I51" i="5"/>
  <c r="F51" i="5"/>
  <c r="H51" i="5"/>
  <c r="R51" i="5"/>
  <c r="E51" i="5"/>
  <c r="J51" i="5"/>
  <c r="R98" i="5"/>
  <c r="E98" i="5"/>
  <c r="H98" i="5"/>
  <c r="I98" i="5"/>
  <c r="F98" i="5"/>
  <c r="J98" i="5"/>
  <c r="R189" i="5"/>
  <c r="E189" i="5"/>
  <c r="J189" i="5"/>
  <c r="H189" i="5"/>
  <c r="I189" i="5"/>
  <c r="G189" i="5"/>
  <c r="F189" i="5"/>
  <c r="E94" i="5"/>
  <c r="R94" i="5"/>
  <c r="H94" i="5"/>
  <c r="I94" i="5"/>
  <c r="F94" i="5"/>
  <c r="J94" i="5"/>
  <c r="R78" i="5"/>
  <c r="E78" i="5"/>
  <c r="I78" i="5"/>
  <c r="H78" i="5"/>
  <c r="F78" i="5"/>
  <c r="J78" i="5"/>
  <c r="R66" i="5"/>
  <c r="E66" i="5"/>
  <c r="H66" i="5"/>
  <c r="J66" i="5"/>
  <c r="I66" i="5"/>
  <c r="F66" i="5"/>
  <c r="F113" i="5"/>
  <c r="E113" i="5"/>
  <c r="R113" i="5"/>
  <c r="I113" i="5"/>
  <c r="J113" i="5"/>
  <c r="H113" i="5"/>
  <c r="R24" i="5"/>
  <c r="I24" i="5"/>
  <c r="J24" i="5"/>
  <c r="E24" i="5"/>
  <c r="F24" i="5"/>
  <c r="H24" i="5"/>
  <c r="R62" i="5"/>
  <c r="E62" i="5"/>
  <c r="H62" i="5"/>
  <c r="I62" i="5"/>
  <c r="J62" i="5"/>
  <c r="F62" i="5"/>
  <c r="F35" i="5"/>
  <c r="H35" i="5"/>
  <c r="E35" i="5"/>
  <c r="R35" i="5"/>
  <c r="I35" i="5"/>
  <c r="J35" i="5"/>
  <c r="E123" i="5"/>
  <c r="H123" i="5"/>
  <c r="J123" i="5"/>
  <c r="I123" i="5"/>
  <c r="R123" i="5"/>
  <c r="F123" i="5"/>
  <c r="G188" i="5"/>
  <c r="I188" i="5"/>
  <c r="E188" i="5"/>
  <c r="F188" i="5"/>
  <c r="J188" i="5"/>
  <c r="H188" i="5"/>
  <c r="R188" i="5"/>
  <c r="G156" i="5"/>
  <c r="H156" i="5"/>
  <c r="F156" i="5"/>
  <c r="E156" i="5"/>
  <c r="R156" i="5"/>
  <c r="I156" i="5"/>
  <c r="J156" i="5"/>
  <c r="I162" i="5"/>
  <c r="R162" i="5"/>
  <c r="F162" i="5"/>
  <c r="E162" i="5"/>
  <c r="J162" i="5"/>
  <c r="H162" i="5"/>
  <c r="R50" i="5"/>
  <c r="E50" i="5"/>
  <c r="F50" i="5"/>
  <c r="H50" i="5"/>
  <c r="I50" i="5"/>
  <c r="J50" i="5"/>
  <c r="H107" i="5"/>
  <c r="R107" i="5"/>
  <c r="I107" i="5"/>
  <c r="E107" i="5"/>
  <c r="J107" i="5"/>
  <c r="F107" i="5"/>
  <c r="R6" i="5"/>
  <c r="H6" i="5"/>
  <c r="I6" i="5"/>
  <c r="J6" i="5"/>
  <c r="F6" i="5"/>
  <c r="E6" i="5"/>
  <c r="G128" i="5"/>
  <c r="I128" i="5"/>
  <c r="H128" i="5"/>
  <c r="E128" i="5"/>
  <c r="J128" i="5"/>
  <c r="F128" i="5"/>
  <c r="R128" i="5"/>
  <c r="R20" i="5"/>
  <c r="F20" i="5"/>
  <c r="I20" i="5"/>
  <c r="E20" i="5"/>
  <c r="H20" i="5"/>
  <c r="J20" i="5"/>
  <c r="R137" i="5"/>
  <c r="F137" i="5"/>
  <c r="E137" i="5"/>
  <c r="J137" i="5"/>
  <c r="H137" i="5"/>
  <c r="I137" i="5"/>
  <c r="I186" i="5"/>
  <c r="J186" i="5"/>
  <c r="F186" i="5"/>
  <c r="H186" i="5"/>
  <c r="R186" i="5"/>
  <c r="E186" i="5"/>
  <c r="E61" i="5"/>
  <c r="I61" i="5"/>
  <c r="R61" i="5"/>
  <c r="H61" i="5"/>
  <c r="F61" i="5"/>
  <c r="J61" i="5"/>
  <c r="I171" i="5"/>
  <c r="H171" i="5"/>
  <c r="R171" i="5"/>
  <c r="J171" i="5"/>
  <c r="F171" i="5"/>
  <c r="E171" i="5"/>
  <c r="F145" i="5"/>
  <c r="R145" i="5"/>
  <c r="E145" i="5"/>
  <c r="J145" i="5"/>
  <c r="I145" i="5"/>
  <c r="H145" i="5"/>
  <c r="H55" i="5"/>
  <c r="R55" i="5"/>
  <c r="F55" i="5"/>
  <c r="E55" i="5"/>
  <c r="J55" i="5"/>
  <c r="I55" i="5"/>
  <c r="R60" i="5"/>
  <c r="H60" i="5"/>
  <c r="E60" i="5"/>
  <c r="I60" i="5"/>
  <c r="J60" i="5"/>
  <c r="F60" i="5"/>
  <c r="R34" i="5"/>
  <c r="E34" i="5"/>
  <c r="H34" i="5"/>
  <c r="I34" i="5"/>
  <c r="F34" i="5"/>
  <c r="J34" i="5"/>
  <c r="G38" i="5"/>
  <c r="G182" i="5"/>
  <c r="G75" i="5"/>
  <c r="G22" i="5"/>
  <c r="G86" i="5"/>
  <c r="G148" i="5"/>
  <c r="J148" i="5"/>
  <c r="H148" i="5"/>
  <c r="F148" i="5"/>
  <c r="R148" i="5"/>
  <c r="I148" i="5"/>
  <c r="E148" i="5"/>
  <c r="R82" i="5"/>
  <c r="H82" i="5"/>
  <c r="F82" i="5"/>
  <c r="E82" i="5"/>
  <c r="I82" i="5"/>
  <c r="J82" i="5"/>
  <c r="R84" i="5"/>
  <c r="F84" i="5"/>
  <c r="H84" i="5"/>
  <c r="J84" i="5"/>
  <c r="E84" i="5"/>
  <c r="I84" i="5"/>
  <c r="R133" i="5"/>
  <c r="F133" i="5"/>
  <c r="I133" i="5"/>
  <c r="E133" i="5"/>
  <c r="J133" i="5"/>
  <c r="H133" i="5"/>
  <c r="G46" i="5"/>
  <c r="G70" i="5"/>
  <c r="G179" i="5"/>
  <c r="R125" i="5"/>
  <c r="E125" i="5"/>
  <c r="F125" i="5"/>
  <c r="H125" i="5"/>
  <c r="J125" i="5"/>
  <c r="I125" i="5"/>
  <c r="G119" i="5"/>
  <c r="I30" i="5"/>
  <c r="R30" i="5"/>
  <c r="J30" i="5"/>
  <c r="H30" i="5"/>
  <c r="E30" i="5"/>
  <c r="F30" i="5"/>
  <c r="G47" i="5"/>
  <c r="G23" i="5"/>
  <c r="G81" i="5"/>
  <c r="I127" i="5"/>
  <c r="E127" i="5"/>
  <c r="H127" i="5"/>
  <c r="J127" i="5"/>
  <c r="F127" i="5"/>
  <c r="R127" i="5"/>
  <c r="G67" i="5"/>
  <c r="G122" i="5"/>
  <c r="G80" i="5"/>
  <c r="G114" i="5"/>
  <c r="G25" i="5"/>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92" i="5"/>
  <c r="T37" i="5"/>
  <c r="T73" i="5"/>
  <c r="T75" i="5"/>
  <c r="T119" i="5"/>
  <c r="T109" i="5"/>
  <c r="T153" i="5"/>
  <c r="T31" i="5"/>
  <c r="T176" i="5"/>
  <c r="T130" i="5"/>
  <c r="T27" i="5"/>
  <c r="T160" i="5"/>
  <c r="T52" i="5"/>
  <c r="T140" i="5"/>
  <c r="T24" i="5"/>
  <c r="T123" i="5"/>
  <c r="T20" i="5"/>
  <c r="T61" i="5"/>
  <c r="T34" i="5"/>
  <c r="T82" i="5"/>
  <c r="T125" i="5"/>
  <c r="T16" i="5"/>
  <c r="T7" i="5"/>
  <c r="T78" i="5"/>
  <c r="T35" i="5"/>
  <c r="T107" i="5"/>
  <c r="T171" i="5"/>
  <c r="T145" i="5"/>
  <c r="T84" i="5"/>
  <c r="T63" i="5"/>
  <c r="T105" i="5"/>
  <c r="T29" i="5"/>
  <c r="T53" i="5"/>
  <c r="T90" i="5"/>
  <c r="T184" i="5"/>
  <c r="T36" i="5"/>
  <c r="T77" i="5"/>
  <c r="T143" i="5"/>
  <c r="T32" i="5"/>
  <c r="T103" i="5"/>
  <c r="T38" i="5"/>
  <c r="T23" i="5"/>
  <c r="T178" i="5"/>
  <c r="T40" i="5"/>
  <c r="T58" i="5"/>
  <c r="T142" i="5"/>
  <c r="T79" i="5"/>
  <c r="T99" i="5"/>
  <c r="T66" i="5"/>
  <c r="T148" i="5"/>
  <c r="T30" i="5"/>
  <c r="T94" i="5"/>
  <c r="T128" i="5"/>
  <c r="T137" i="5"/>
  <c r="T48" i="5"/>
  <c r="T111" i="5"/>
  <c r="T65" i="5"/>
  <c r="T155" i="5"/>
  <c r="T91" i="5"/>
  <c r="T141" i="5"/>
  <c r="T138" i="5"/>
  <c r="T132" i="5"/>
  <c r="T177" i="5"/>
  <c r="T131" i="5"/>
  <c r="T144" i="5"/>
  <c r="T100" i="5"/>
  <c r="T22" i="5"/>
  <c r="T70" i="5"/>
  <c r="T179" i="5"/>
  <c r="T122" i="5"/>
  <c r="T25" i="5"/>
  <c r="T154" i="5"/>
  <c r="T19" i="5"/>
  <c r="T97" i="5"/>
  <c r="T69" i="5"/>
  <c r="T157" i="5"/>
  <c r="T104" i="5"/>
  <c r="T187" i="5"/>
  <c r="T51" i="5"/>
  <c r="T98" i="5"/>
  <c r="T113" i="5"/>
  <c r="T62" i="5"/>
  <c r="T188" i="5"/>
  <c r="T186" i="5"/>
  <c r="T6" i="5"/>
  <c r="T127" i="5"/>
  <c r="T146" i="5"/>
  <c r="T57" i="5"/>
  <c r="T185" i="5"/>
  <c r="T93" i="5"/>
  <c r="T150" i="5"/>
  <c r="T139" i="5"/>
  <c r="T134" i="5"/>
  <c r="T172" i="5"/>
  <c r="T46" i="5"/>
  <c r="T47" i="5"/>
  <c r="T81" i="5"/>
  <c r="T67" i="5"/>
  <c r="T42" i="5"/>
  <c r="T147" i="5"/>
  <c r="T26" i="5"/>
  <c r="T161" i="5"/>
  <c r="T126" i="5"/>
  <c r="T112" i="5"/>
  <c r="T85" i="5"/>
  <c r="T121" i="5"/>
  <c r="T54" i="5"/>
  <c r="T167" i="5"/>
  <c r="T135" i="5"/>
  <c r="T95" i="5"/>
  <c r="T89" i="5"/>
  <c r="T68" i="5"/>
  <c r="T173" i="5"/>
  <c r="T166" i="5"/>
  <c r="T88" i="5"/>
  <c r="T182" i="5"/>
  <c r="T152" i="5"/>
  <c r="T110" i="5"/>
  <c r="T129" i="5"/>
  <c r="T181" i="5"/>
  <c r="T117" i="5"/>
  <c r="T96" i="5"/>
  <c r="T49" i="5"/>
  <c r="T28" i="5"/>
  <c r="T106" i="5"/>
  <c r="T149" i="5"/>
  <c r="T39" i="5"/>
  <c r="T76" i="5"/>
  <c r="T162" i="5"/>
  <c r="T10" i="5"/>
  <c r="T8" i="5"/>
  <c r="T133" i="5"/>
  <c r="T83" i="5"/>
  <c r="T170" i="5"/>
  <c r="T56" i="5"/>
  <c r="T168" i="5"/>
  <c r="T33" i="5"/>
  <c r="T159" i="5"/>
  <c r="T174" i="5"/>
  <c r="T41" i="5"/>
  <c r="T18" i="5"/>
  <c r="T64" i="5"/>
  <c r="T44" i="5"/>
  <c r="T118" i="5"/>
  <c r="T5" i="5"/>
  <c r="T169" i="5"/>
  <c r="T86" i="5"/>
  <c r="T80" i="5"/>
  <c r="T114" i="5"/>
  <c r="T59" i="5"/>
  <c r="T164" i="5"/>
  <c r="T72" i="5"/>
  <c r="T101" i="5"/>
  <c r="T21" i="5"/>
  <c r="T116" i="5"/>
  <c r="T158" i="5"/>
  <c r="T74" i="5"/>
  <c r="T45" i="5"/>
  <c r="T183" i="5"/>
  <c r="T189" i="5"/>
  <c r="T156" i="5"/>
  <c r="T50" i="5"/>
  <c r="T55" i="5"/>
  <c r="T60" i="5"/>
  <c r="T12" i="5"/>
  <c r="T15" i="5"/>
  <c r="T9" i="5"/>
  <c r="T17" i="5"/>
  <c r="T14" i="5"/>
  <c r="T13" i="5"/>
  <c r="T11" i="5"/>
  <c r="X6" i="5" l="1"/>
  <c r="X62" i="5"/>
  <c r="X113" i="5"/>
  <c r="X66" i="5"/>
  <c r="X78" i="5"/>
  <c r="X52" i="5"/>
  <c r="X79" i="5"/>
  <c r="X187" i="5"/>
  <c r="X39" i="5"/>
  <c r="X160" i="5"/>
  <c r="X96" i="5"/>
  <c r="X126" i="5"/>
  <c r="X130" i="5"/>
  <c r="X176" i="5"/>
  <c r="X42" i="5"/>
  <c r="X81" i="5"/>
  <c r="X75" i="5"/>
  <c r="X177" i="5"/>
  <c r="X143" i="5"/>
  <c r="X134" i="5"/>
  <c r="X77" i="5"/>
  <c r="X36" i="5"/>
  <c r="X89" i="5"/>
  <c r="X95" i="5"/>
  <c r="X37" i="5"/>
  <c r="X29" i="5"/>
  <c r="X150" i="5"/>
  <c r="X93" i="5"/>
  <c r="X57" i="5"/>
  <c r="X105" i="5"/>
  <c r="X65" i="5"/>
  <c r="X84" i="5"/>
  <c r="X123" i="5"/>
  <c r="X94" i="5"/>
  <c r="X189" i="5"/>
  <c r="X98" i="5"/>
  <c r="X142" i="5"/>
  <c r="X85" i="5"/>
  <c r="X116" i="5"/>
  <c r="X97" i="5"/>
  <c r="X19" i="5"/>
  <c r="X31" i="5"/>
  <c r="X147" i="5"/>
  <c r="X114" i="5"/>
  <c r="X47" i="5"/>
  <c r="X119" i="5"/>
  <c r="X100" i="5"/>
  <c r="X103" i="5"/>
  <c r="X131" i="5"/>
  <c r="X32" i="5"/>
  <c r="X118" i="5"/>
  <c r="X44" i="5"/>
  <c r="X18" i="5"/>
  <c r="X184" i="5"/>
  <c r="X174" i="5"/>
  <c r="X139" i="5"/>
  <c r="X159" i="5"/>
  <c r="X168" i="5"/>
  <c r="X185" i="5"/>
  <c r="X155" i="5"/>
  <c r="X146" i="5"/>
  <c r="X63" i="5"/>
  <c r="X181" i="5"/>
  <c r="X153" i="5"/>
  <c r="X154" i="5"/>
  <c r="X109" i="5"/>
  <c r="X23" i="5"/>
  <c r="X182" i="5"/>
  <c r="X73" i="5"/>
  <c r="X88" i="5"/>
  <c r="X64" i="5"/>
  <c r="X141" i="5"/>
  <c r="X41" i="5"/>
  <c r="X167" i="5"/>
  <c r="X121" i="5"/>
  <c r="X48" i="5"/>
  <c r="X125" i="5"/>
  <c r="X127" i="5"/>
  <c r="X30" i="5"/>
  <c r="X60" i="5"/>
  <c r="X145" i="5"/>
  <c r="X137" i="5"/>
  <c r="X128" i="5"/>
  <c r="X107" i="5"/>
  <c r="X162" i="5"/>
  <c r="X156" i="5"/>
  <c r="X183" i="5"/>
  <c r="X58" i="5"/>
  <c r="X49" i="5"/>
  <c r="X27" i="5"/>
  <c r="X40" i="5"/>
  <c r="X117" i="5"/>
  <c r="X21" i="5"/>
  <c r="X129" i="5"/>
  <c r="X161" i="5"/>
  <c r="X26" i="5"/>
  <c r="X164" i="5"/>
  <c r="X178" i="5"/>
  <c r="X152" i="5"/>
  <c r="X67" i="5"/>
  <c r="X172" i="5"/>
  <c r="X169" i="5"/>
  <c r="X5" i="5"/>
  <c r="X166" i="5"/>
  <c r="X135" i="5"/>
  <c r="X92" i="5"/>
  <c r="X33" i="5"/>
  <c r="X56" i="5"/>
  <c r="X170" i="5"/>
  <c r="X54" i="5"/>
  <c r="X133" i="5"/>
  <c r="X20" i="5"/>
  <c r="X140" i="5"/>
  <c r="X149" i="5"/>
  <c r="X61" i="5"/>
  <c r="X50" i="5"/>
  <c r="X24" i="5"/>
  <c r="X51" i="5"/>
  <c r="X104" i="5"/>
  <c r="X106" i="5"/>
  <c r="X45" i="5"/>
  <c r="X158" i="5"/>
  <c r="X157" i="5"/>
  <c r="X112" i="5"/>
  <c r="X69" i="5"/>
  <c r="X101" i="5"/>
  <c r="X72" i="5"/>
  <c r="X59" i="5"/>
  <c r="X80" i="5"/>
  <c r="X122" i="5"/>
  <c r="X46" i="5"/>
  <c r="X86" i="5"/>
  <c r="X132" i="5"/>
  <c r="X138" i="5"/>
  <c r="X68" i="5"/>
  <c r="X83" i="5"/>
  <c r="X82" i="5"/>
  <c r="X55" i="5"/>
  <c r="X34" i="5"/>
  <c r="X148" i="5"/>
  <c r="X171" i="5"/>
  <c r="X186" i="5"/>
  <c r="X188" i="5"/>
  <c r="X35" i="5"/>
  <c r="X99" i="5"/>
  <c r="X76" i="5"/>
  <c r="X74" i="5"/>
  <c r="X28" i="5"/>
  <c r="X110" i="5"/>
  <c r="X25" i="5"/>
  <c r="X179" i="5"/>
  <c r="X70" i="5"/>
  <c r="X22" i="5"/>
  <c r="X38" i="5"/>
  <c r="X144" i="5"/>
  <c r="X173" i="5"/>
  <c r="X90" i="5"/>
  <c r="X53" i="5"/>
  <c r="X91" i="5"/>
  <c r="X111" i="5"/>
  <c r="X13" i="5"/>
  <c r="X10" i="5"/>
  <c r="D65" i="6"/>
  <c r="X9" i="5"/>
  <c r="X12" i="5"/>
  <c r="X14" i="5"/>
  <c r="X17" i="5"/>
  <c r="D66" i="6"/>
  <c r="C67" i="6"/>
  <c r="X11" i="5"/>
  <c r="X15" i="5"/>
  <c r="X8" i="5"/>
  <c r="X7" i="5"/>
  <c r="G69" i="6"/>
  <c r="H69" i="6" s="1"/>
  <c r="H70" i="6" s="1"/>
  <c r="D2" i="6" s="1"/>
  <c r="X16" i="5"/>
  <c r="D55" i="6"/>
  <c r="C55" i="6"/>
  <c r="D56" i="6"/>
  <c r="C56" i="6"/>
  <c r="S16" i="5"/>
  <c r="S13" i="5"/>
  <c r="S12" i="5"/>
  <c r="S65" i="5"/>
  <c r="S97" i="5"/>
  <c r="S119" i="5"/>
  <c r="S131" i="5"/>
  <c r="S44" i="5"/>
  <c r="S146" i="5"/>
  <c r="S88" i="5"/>
  <c r="S41" i="5"/>
  <c r="S137" i="5"/>
  <c r="S162" i="5"/>
  <c r="S164" i="5"/>
  <c r="S92" i="5"/>
  <c r="S61" i="5"/>
  <c r="S45" i="5"/>
  <c r="S72" i="5"/>
  <c r="S132" i="5"/>
  <c r="S83" i="5"/>
  <c r="S34" i="5"/>
  <c r="S99" i="5"/>
  <c r="S28" i="5"/>
  <c r="S38" i="5"/>
  <c r="S111" i="5"/>
  <c r="S15" i="5"/>
  <c r="S101" i="5"/>
  <c r="S171" i="5"/>
  <c r="S22" i="5"/>
  <c r="S173" i="5"/>
  <c r="S11" i="5"/>
  <c r="S6" i="5"/>
  <c r="S66" i="5"/>
  <c r="S79" i="5"/>
  <c r="S160" i="5"/>
  <c r="S130" i="5"/>
  <c r="S81" i="5"/>
  <c r="S143" i="5"/>
  <c r="S36" i="5"/>
  <c r="S37" i="5"/>
  <c r="S93" i="5"/>
  <c r="S94" i="5"/>
  <c r="S142" i="5"/>
  <c r="S147" i="5"/>
  <c r="S174" i="5"/>
  <c r="S168" i="5"/>
  <c r="S153" i="5"/>
  <c r="S23" i="5"/>
  <c r="S48" i="5"/>
  <c r="S30" i="5"/>
  <c r="S58" i="5"/>
  <c r="S40" i="5"/>
  <c r="S129" i="5"/>
  <c r="S67" i="5"/>
  <c r="S5" i="5"/>
  <c r="S170" i="5"/>
  <c r="S20" i="5"/>
  <c r="S51" i="5"/>
  <c r="S112" i="5"/>
  <c r="S122" i="5"/>
  <c r="S186" i="5"/>
  <c r="S179" i="5"/>
  <c r="S90" i="5"/>
  <c r="S8" i="5"/>
  <c r="S157" i="5"/>
  <c r="S68" i="5"/>
  <c r="S91" i="5"/>
  <c r="S18" i="5"/>
  <c r="S9" i="5"/>
  <c r="S84" i="5"/>
  <c r="S19" i="5"/>
  <c r="S114" i="5"/>
  <c r="S100" i="5"/>
  <c r="S139" i="5"/>
  <c r="S63" i="5"/>
  <c r="S64" i="5"/>
  <c r="S167" i="5"/>
  <c r="S128" i="5"/>
  <c r="S49" i="5"/>
  <c r="S117" i="5"/>
  <c r="S178" i="5"/>
  <c r="S166" i="5"/>
  <c r="S140" i="5"/>
  <c r="S50" i="5"/>
  <c r="S104" i="5"/>
  <c r="S69" i="5"/>
  <c r="S46" i="5"/>
  <c r="S138" i="5"/>
  <c r="S148" i="5"/>
  <c r="S76" i="5"/>
  <c r="S144" i="5"/>
  <c r="S17" i="5"/>
  <c r="S14" i="5"/>
  <c r="S26" i="5"/>
  <c r="S135" i="5"/>
  <c r="S149" i="5"/>
  <c r="S80" i="5"/>
  <c r="S55" i="5"/>
  <c r="S25" i="5"/>
  <c r="S62" i="5"/>
  <c r="S78" i="5"/>
  <c r="S187" i="5"/>
  <c r="S96" i="5"/>
  <c r="S176" i="5"/>
  <c r="S75" i="5"/>
  <c r="S134" i="5"/>
  <c r="S89" i="5"/>
  <c r="S29" i="5"/>
  <c r="S57" i="5"/>
  <c r="S189" i="5"/>
  <c r="S85" i="5"/>
  <c r="S32" i="5"/>
  <c r="S185" i="5"/>
  <c r="S154" i="5"/>
  <c r="S182" i="5"/>
  <c r="S125" i="5"/>
  <c r="S60" i="5"/>
  <c r="S156" i="5"/>
  <c r="S161" i="5"/>
  <c r="S172" i="5"/>
  <c r="S33" i="5"/>
  <c r="S54" i="5"/>
  <c r="S158" i="5"/>
  <c r="S59" i="5"/>
  <c r="S82" i="5"/>
  <c r="S188" i="5"/>
  <c r="S110" i="5"/>
  <c r="S70" i="5"/>
  <c r="S53" i="5"/>
  <c r="S7" i="5"/>
  <c r="S21" i="5"/>
  <c r="S152" i="5"/>
  <c r="S56" i="5"/>
  <c r="S24" i="5"/>
  <c r="S86" i="5"/>
  <c r="S35" i="5"/>
  <c r="S113" i="5"/>
  <c r="S52" i="5"/>
  <c r="S39" i="5"/>
  <c r="S126" i="5"/>
  <c r="S42" i="5"/>
  <c r="S177" i="5"/>
  <c r="S77" i="5"/>
  <c r="S95" i="5"/>
  <c r="S150" i="5"/>
  <c r="S105" i="5"/>
  <c r="S123" i="5"/>
  <c r="S98" i="5"/>
  <c r="S116" i="5"/>
  <c r="S31" i="5"/>
  <c r="S47" i="5"/>
  <c r="S103" i="5"/>
  <c r="S118" i="5"/>
  <c r="S184" i="5"/>
  <c r="S159" i="5"/>
  <c r="S155" i="5"/>
  <c r="S181" i="5"/>
  <c r="S109" i="5"/>
  <c r="S73" i="5"/>
  <c r="S141" i="5"/>
  <c r="S121" i="5"/>
  <c r="S127" i="5"/>
  <c r="S145" i="5"/>
  <c r="S107" i="5"/>
  <c r="S183" i="5"/>
  <c r="S27" i="5"/>
  <c r="S169" i="5"/>
  <c r="S133" i="5"/>
  <c r="S106" i="5"/>
  <c r="S74" i="5"/>
  <c r="S10"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<sst xmlns="http://schemas.openxmlformats.org/spreadsheetml/2006/main" count="21994" uniqueCount="15513">
  <si>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</si>
  <si>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</si>
  <si>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</si>
  <si>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</si>
  <si>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</si>
  <si>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</si>
  <si>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</si>
  <si>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</si>
  <si>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</si>
  <si>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</si>
  <si>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</si>
  <si>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</si>
  <si>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</si>
  <si>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</si>
  <si>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</si>
  <si>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</si>
  <si>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</si>
  <si>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</si>
  <si>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</si>
  <si>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</si>
  <si>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</si>
  <si>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</si>
  <si>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</si>
  <si>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</si>
  <si>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</si>
  <si>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</si>
  <si>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</si>
  <si>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</si>
  <si>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</si>
  <si>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</si>
  <si>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</si>
  <si>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</si>
  <si>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</si>
  <si>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</si>
  <si>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</si>
  <si>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</si>
  <si>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</si>
  <si>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</si>
  <si>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</si>
  <si>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</si>
  <si>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</si>
  <si>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</si>
  <si>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</si>
  <si>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</si>
  <si>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</si>
  <si>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</si>
  <si>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</si>
  <si>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</si>
  <si>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</si>
  <si>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</si>
  <si>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</si>
  <si>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</si>
  <si>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</si>
  <si>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</si>
  <si>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</si>
  <si>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</si>
  <si>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</si>
  <si>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</si>
  <si>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</si>
  <si>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</si>
  <si>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</si>
  <si>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</si>
  <si>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</si>
  <si>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</si>
  <si>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</si>
  <si>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</si>
  <si>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</si>
  <si>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</si>
  <si>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</si>
  <si>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</si>
  <si>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</si>
  <si>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</si>
  <si>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</si>
  <si>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</si>
  <si>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</si>
  <si>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</si>
  <si>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</si>
  <si>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</si>
  <si>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</si>
  <si>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</si>
  <si>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</si>
  <si>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</si>
  <si>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</si>
  <si>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</si>
  <si>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</si>
  <si>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</si>
  <si>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</si>
  <si>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</si>
  <si>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</si>
  <si>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</si>
  <si>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</si>
  <si>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</si>
  <si>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</si>
  <si>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</si>
  <si>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</si>
  <si>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</si>
  <si>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</si>
  <si>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</si>
  <si>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</si>
  <si>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</si>
  <si>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</si>
  <si>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</si>
  <si>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</si>
  <si>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</si>
  <si>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</si>
  <si>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</si>
  <si>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</si>
  <si>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</si>
  <si>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</si>
  <si>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</si>
  <si>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</si>
  <si>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</si>
  <si>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</si>
  <si>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</si>
  <si>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</si>
  <si>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</si>
  <si>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</si>
  <si>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</si>
  <si>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</si>
  <si>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</si>
  <si>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</si>
  <si>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</si>
  <si>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</si>
  <si>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</si>
  <si>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</si>
  <si>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</si>
  <si>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</si>
  <si>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</si>
  <si>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</si>
  <si>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</si>
  <si>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</si>
  <si>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</si>
  <si>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</si>
  <si>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</si>
  <si>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</si>
  <si>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</si>
  <si>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</si>
  <si>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</si>
  <si>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</si>
  <si>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</si>
  <si>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</si>
  <si>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</si>
  <si>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</si>
  <si>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</si>
  <si>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</si>
  <si>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</si>
  <si>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</si>
  <si>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</si>
  <si>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</si>
  <si>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</si>
  <si>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</si>
  <si>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</si>
  <si>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</si>
  <si>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</si>
  <si>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</si>
  <si>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</si>
  <si>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</si>
  <si>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</si>
  <si>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</si>
  <si>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</si>
  <si>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</si>
  <si>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</si>
  <si>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</si>
  <si>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</si>
  <si>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</si>
  <si>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</si>
  <si>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</si>
  <si>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</si>
  <si>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</si>
  <si>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</si>
  <si>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</si>
  <si>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</si>
  <si>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</si>
  <si>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</si>
  <si>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</si>
  <si>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</si>
  <si>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</si>
  <si>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</si>
  <si>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</si>
  <si>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</si>
  <si>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</si>
  <si>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</si>
  <si>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</si>
  <si>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</si>
  <si>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</si>
  <si>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</si>
  <si>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</si>
  <si>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</si>
  <si>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</si>
  <si>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</si>
  <si>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</si>
  <si>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</si>
  <si>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</si>
  <si>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</si>
  <si>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</si>
  <si>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</si>
  <si>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</si>
  <si>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</si>
  <si>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</si>
  <si>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</si>
  <si>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</si>
  <si>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</si>
  <si>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</si>
  <si>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</si>
  <si>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</si>
  <si>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</si>
  <si>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</si>
  <si>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</si>
  <si>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</si>
  <si>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</si>
  <si>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</si>
  <si>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</si>
  <si>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</si>
  <si>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</si>
  <si>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</si>
  <si>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</si>
  <si>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</si>
  <si>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</si>
  <si>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</si>
  <si>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</si>
  <si>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</si>
  <si>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</si>
  <si>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</si>
  <si>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</si>
  <si>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</si>
  <si>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</si>
  <si>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</si>
  <si>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</si>
  <si>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</si>
  <si>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</si>
  <si>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</si>
  <si>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</si>
  <si>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</si>
  <si>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</si>
  <si>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</si>
  <si>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</si>
  <si>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</si>
  <si>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</si>
  <si>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</si>
  <si>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</si>
  <si>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</si>
  <si>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</si>
  <si>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</si>
  <si>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</si>
  <si>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</si>
  <si>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</si>
  <si>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</si>
  <si>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</si>
  <si>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</si>
  <si>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</si>
  <si>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</si>
  <si>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</si>
  <si>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</si>
  <si>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</si>
  <si>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</si>
  <si>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</si>
  <si>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</si>
  <si>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</si>
  <si>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</si>
  <si>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</si>
  <si>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</si>
  <si>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</si>
  <si>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</si>
  <si>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</si>
  <si>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</si>
  <si>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</si>
  <si>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</si>
  <si>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</si>
  <si>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</si>
  <si>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</si>
  <si>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</si>
  <si>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</si>
  <si>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</si>
  <si>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</si>
  <si>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</si>
  <si>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</si>
  <si>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</si>
  <si>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</si>
  <si>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</si>
  <si>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</si>
  <si>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</si>
  <si>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</si>
  <si>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</si>
  <si>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</si>
  <si>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</si>
  <si>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</si>
  <si>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</si>
  <si>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</si>
  <si>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</si>
  <si>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</si>
  <si>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</si>
  <si>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</si>
  <si>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</si>
  <si>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</si>
  <si>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</si>
  <si>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</si>
  <si>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</si>
  <si>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</si>
  <si>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</si>
  <si>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</si>
  <si>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</si>
  <si>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</si>
  <si>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</si>
  <si>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</si>
  <si>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</si>
  <si>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</si>
  <si>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</si>
  <si>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</si>
  <si>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</si>
  <si>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</si>
  <si>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</si>
  <si>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</si>
  <si>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</si>
  <si>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</si>
  <si>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</si>
  <si>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</si>
  <si>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</si>
  <si>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</si>
  <si>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</si>
  <si>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</si>
  <si>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</si>
  <si>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</si>
  <si>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</si>
  <si>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</si>
  <si>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</si>
  <si>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</si>
  <si>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</si>
  <si>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</si>
  <si>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</si>
  <si>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</si>
  <si>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</si>
  <si>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</si>
  <si>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</si>
  <si>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</si>
  <si>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</si>
  <si>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</si>
  <si>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</si>
  <si>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</si>
  <si>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</si>
  <si>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</si>
  <si>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</si>
  <si>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</si>
  <si>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</si>
  <si>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</si>
  <si>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</si>
  <si>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</si>
  <si>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</si>
  <si>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</si>
  <si>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</si>
  <si>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</si>
  <si>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</si>
  <si>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</si>
  <si>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</si>
  <si>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</si>
  <si>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</si>
  <si>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</si>
  <si>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</si>
  <si>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</si>
  <si>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</si>
  <si>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</si>
  <si>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</si>
  <si>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</si>
  <si>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</si>
  <si>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</si>
  <si>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</si>
  <si>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</si>
  <si>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</si>
  <si>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</si>
  <si>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</si>
  <si>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</si>
  <si>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</si>
  <si>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</si>
  <si>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</si>
  <si>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</si>
  <si>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</si>
  <si>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</si>
  <si>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</si>
  <si>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</si>
  <si>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</si>
  <si>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</si>
  <si>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</si>
  <si>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</si>
  <si>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</si>
  <si>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</si>
  <si>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</si>
  <si>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</si>
  <si>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</si>
  <si>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</si>
  <si>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</si>
  <si>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</si>
  <si>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</si>
  <si>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</si>
  <si>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</si>
  <si>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</si>
  <si>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</si>
  <si>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</si>
  <si>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</si>
  <si>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</si>
  <si>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</si>
  <si>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</si>
  <si>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</si>
  <si>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</si>
  <si>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</si>
  <si>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</si>
  <si>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</si>
  <si>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</si>
  <si>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</si>
  <si>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</si>
  <si>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</si>
  <si>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</si>
  <si>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</si>
  <si>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</si>
  <si>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</si>
  <si>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</si>
  <si>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</si>
  <si>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</si>
  <si>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</si>
  <si>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</si>
  <si>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</si>
  <si>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</si>
  <si>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</si>
  <si>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</si>
  <si>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</si>
  <si>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</si>
  <si>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</si>
  <si>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</si>
  <si>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</si>
  <si>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</si>
  <si>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</si>
  <si>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</si>
  <si>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</si>
  <si>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</si>
  <si>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</si>
  <si>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</si>
  <si>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</si>
  <si>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</si>
  <si>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</si>
  <si>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</si>
  <si>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</si>
  <si>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</si>
  <si>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</si>
  <si>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</si>
  <si>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</si>
  <si>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</si>
  <si>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</si>
  <si>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</si>
  <si>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</si>
  <si>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</si>
  <si>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</si>
  <si>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</si>
  <si>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</si>
  <si>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</si>
  <si>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</si>
  <si>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</si>
  <si>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</si>
  <si>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</si>
  <si>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</si>
  <si>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</si>
  <si>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</si>
  <si>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</si>
  <si>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</si>
  <si>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</si>
  <si>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</si>
  <si>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</si>
  <si>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</si>
  <si>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</si>
  <si>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</si>
  <si>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</si>
  <si>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</si>
  <si>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</si>
  <si>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</si>
  <si>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</si>
  <si>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</si>
  <si>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</si>
  <si>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</si>
  <si>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</si>
  <si>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</si>
  <si>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</si>
  <si>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</si>
  <si>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</si>
  <si>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</si>
  <si>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</si>
  <si>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</si>
  <si>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</si>
  <si>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</si>
  <si>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</si>
  <si>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</si>
  <si>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</si>
  <si>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</si>
  <si>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</si>
  <si>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</si>
  <si>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</si>
  <si>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</si>
  <si>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</si>
  <si>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</si>
  <si>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</si>
  <si>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</si>
  <si>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</si>
  <si>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</si>
  <si>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</si>
  <si>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</si>
  <si>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</si>
  <si>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</si>
  <si>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</si>
  <si>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</si>
  <si>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</si>
  <si>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</si>
  <si>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</si>
  <si>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</si>
  <si>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</si>
  <si>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</si>
  <si>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</si>
  <si>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</si>
  <si>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</si>
  <si>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</si>
  <si>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</si>
  <si>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</si>
  <si>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</si>
  <si>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</si>
  <si>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</si>
  <si>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</si>
  <si>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</si>
  <si>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</si>
  <si>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</si>
  <si>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</si>
  <si>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</si>
  <si>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</si>
  <si>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</si>
  <si>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</si>
  <si>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</si>
  <si>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</si>
  <si>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</si>
  <si>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</si>
  <si>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</si>
  <si>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</si>
  <si>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</si>
  <si>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</si>
  <si>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</si>
  <si>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</si>
  <si>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</si>
  <si>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</si>
  <si>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</si>
  <si>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</si>
  <si>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</si>
  <si>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</si>
  <si>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</si>
  <si>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</si>
  <si>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</si>
  <si>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</si>
  <si>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</si>
  <si>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</si>
  <si>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</si>
  <si>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</si>
  <si>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</si>
  <si>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</si>
  <si>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</si>
  <si>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</si>
  <si>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</si>
  <si>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</si>
  <si>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</si>
  <si>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</si>
  <si>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</si>
  <si>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</si>
  <si>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</si>
  <si>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</si>
  <si>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</si>
  <si>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</si>
  <si>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</si>
  <si>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</si>
  <si>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</si>
  <si>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</si>
  <si>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</si>
  <si>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</si>
  <si>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</si>
  <si>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</si>
  <si>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</si>
  <si>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</si>
  <si>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</si>
  <si>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</si>
  <si>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</si>
  <si>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</si>
  <si>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</si>
  <si>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</si>
  <si>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</si>
  <si>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</si>
  <si>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</si>
  <si>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</si>
  <si>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</si>
  <si>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</si>
  <si>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</si>
  <si>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</si>
  <si>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</si>
  <si>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</si>
  <si>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</si>
  <si>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</si>
  <si>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</si>
  <si>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</si>
  <si>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</si>
  <si>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</si>
  <si>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</si>
  <si>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</si>
  <si>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</si>
  <si>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</si>
  <si>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</si>
  <si>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</si>
  <si>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</si>
  <si>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</si>
  <si>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</si>
  <si>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</si>
  <si>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</si>
  <si>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</si>
  <si>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</si>
  <si>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</si>
  <si>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</si>
  <si>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</si>
  <si>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</si>
  <si>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</si>
  <si>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</si>
  <si>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</si>
  <si>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</si>
  <si>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</si>
  <si>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</si>
  <si>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</si>
  <si>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</si>
  <si>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</si>
  <si>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</si>
  <si>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</si>
  <si>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</si>
  <si>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</si>
  <si>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</si>
  <si>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</si>
  <si>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</si>
  <si>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</si>
  <si>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</si>
  <si>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</si>
  <si>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</si>
  <si>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</si>
  <si>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</si>
  <si>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</si>
  <si>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</si>
  <si>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</si>
  <si>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</si>
  <si>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</si>
  <si>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</si>
  <si>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</si>
  <si>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</si>
  <si>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</si>
  <si>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</si>
  <si>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</si>
  <si>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</si>
  <si>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</si>
  <si>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</si>
  <si>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</si>
  <si>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</si>
  <si>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</si>
  <si>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</si>
  <si>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</si>
  <si>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</si>
  <si>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</si>
  <si>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</si>
  <si>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</si>
  <si>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</si>
  <si>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</si>
  <si>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</si>
  <si>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</si>
  <si>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</si>
  <si>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</si>
  <si>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</si>
  <si>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</si>
  <si>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</si>
  <si>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</si>
  <si>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</si>
  <si>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</si>
  <si>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</si>
  <si>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</si>
  <si>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</si>
  <si>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</si>
  <si>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</si>
  <si>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</si>
  <si>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</si>
  <si>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</si>
  <si>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</si>
  <si>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</si>
  <si>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</si>
  <si>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</si>
  <si>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</si>
  <si>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</si>
  <si>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</si>
  <si>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</si>
  <si>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</si>
  <si>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</si>
  <si>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</si>
  <si>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</si>
  <si>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</si>
  <si>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</si>
  <si>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</si>
  <si>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</si>
  <si>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</si>
  <si>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</si>
  <si>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</si>
  <si>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</si>
  <si>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</si>
  <si>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</si>
  <si>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</si>
  <si>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</si>
  <si>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</si>
  <si>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</si>
  <si>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</si>
  <si>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</si>
  <si>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</si>
  <si>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</si>
  <si>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</si>
  <si>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</si>
  <si>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</si>
  <si>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</si>
  <si>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</si>
  <si>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</si>
  <si>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</si>
  <si>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</si>
  <si>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</si>
  <si>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</si>
  <si>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</si>
  <si>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</si>
  <si>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</si>
  <si>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</si>
  <si>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</si>
  <si>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</si>
  <si>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</si>
  <si>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</si>
  <si>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</si>
  <si>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</si>
  <si>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</si>
  <si>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</si>
  <si>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</si>
  <si>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</si>
  <si>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</si>
  <si>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</si>
  <si>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</si>
  <si>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</si>
  <si>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</si>
  <si>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</si>
  <si>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</si>
  <si>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</si>
  <si>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</si>
  <si>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</si>
  <si>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</si>
  <si>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</si>
  <si>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</si>
  <si>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</si>
  <si>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</si>
  <si>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</si>
  <si>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</si>
  <si>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</si>
  <si>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</si>
  <si>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</si>
  <si>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</si>
  <si>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</si>
  <si>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</si>
  <si>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</si>
  <si>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</si>
  <si>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</si>
  <si>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</si>
  <si>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</si>
  <si>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</si>
  <si>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</si>
  <si>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</si>
  <si>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</si>
  <si>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</si>
  <si>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</si>
  <si>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</si>
  <si>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</si>
  <si>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</si>
  <si>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</si>
  <si>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</si>
  <si>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</si>
  <si>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</si>
  <si>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</si>
  <si>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</si>
  <si>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</si>
  <si>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</si>
  <si>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</si>
  <si>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</si>
  <si>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</si>
  <si>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</si>
  <si>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</si>
  <si>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</si>
  <si>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</si>
  <si>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</si>
  <si>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</si>
  <si>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</si>
  <si>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</si>
  <si>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</si>
  <si>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</si>
  <si>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</si>
  <si>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</si>
  <si>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</si>
  <si>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</si>
  <si>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</si>
  <si>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</si>
  <si>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</si>
  <si>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</si>
  <si>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</si>
  <si>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</si>
  <si>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</si>
  <si>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</si>
  <si>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</si>
  <si>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</si>
  <si>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</si>
  <si>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</si>
  <si>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</si>
  <si>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</si>
  <si>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</si>
  <si>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</si>
  <si>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</si>
  <si>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</si>
  <si>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</si>
  <si>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</si>
  <si>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</si>
  <si>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</si>
  <si>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</si>
  <si>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</si>
  <si>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</si>
  <si>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</si>
  <si>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</si>
  <si>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</si>
  <si>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</si>
  <si>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</si>
  <si>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</si>
  <si>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</si>
  <si>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</si>
  <si>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</si>
  <si>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</si>
  <si>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</si>
  <si>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</si>
  <si>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</si>
  <si>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</si>
  <si>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</si>
  <si>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</si>
  <si>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</si>
  <si>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</si>
  <si>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</si>
  <si>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</si>
  <si>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</si>
  <si>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</si>
  <si>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</si>
  <si>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</si>
  <si>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</si>
  <si>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</si>
  <si>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</si>
  <si>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</si>
  <si>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</si>
  <si>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</si>
  <si>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</si>
  <si>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</si>
  <si>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</si>
  <si>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</si>
  <si>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</si>
  <si>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</si>
  <si>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</si>
  <si>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</si>
  <si>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</si>
  <si>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</si>
  <si>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</si>
  <si>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</si>
  <si>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</si>
  <si>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</si>
  <si>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</si>
  <si>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</si>
  <si>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</si>
  <si>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</si>
  <si>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</si>
  <si>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</si>
  <si>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</si>
  <si>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</si>
  <si>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</si>
  <si>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</si>
  <si>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</si>
  <si>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</si>
  <si>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</si>
  <si>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</si>
  <si>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</si>
  <si>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</si>
  <si>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</si>
  <si>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</si>
  <si>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</si>
  <si>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</si>
  <si>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</si>
  <si>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</si>
  <si>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</si>
  <si>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</si>
  <si>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</si>
  <si>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</si>
  <si>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</si>
  <si>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</si>
  <si>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</si>
  <si>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</si>
  <si>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</si>
  <si>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</si>
  <si>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</si>
  <si>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</si>
  <si>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</si>
  <si>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</si>
  <si>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</si>
  <si>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</si>
  <si>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</si>
  <si>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</si>
  <si>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</si>
  <si>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</si>
  <si>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</si>
  <si>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</si>
  <si>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</si>
  <si>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</si>
  <si>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</si>
  <si>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</si>
  <si>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</si>
  <si>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</si>
  <si>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</si>
  <si>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</si>
  <si>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</si>
  <si>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</si>
  <si>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</si>
  <si>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</si>
  <si>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</si>
  <si>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</si>
  <si>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</si>
  <si>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</si>
  <si>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</si>
  <si>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</si>
  <si>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</si>
  <si>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</si>
  <si>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</si>
  <si>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</si>
  <si>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</si>
  <si>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</si>
  <si>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</si>
  <si>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</si>
  <si>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</si>
  <si>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</si>
  <si>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</si>
  <si>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</si>
  <si>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</si>
  <si>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</si>
  <si>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</si>
  <si>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</si>
  <si>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</si>
  <si>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</si>
  <si>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</si>
  <si>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</si>
  <si>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</si>
  <si>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</si>
  <si>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</si>
  <si>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</si>
  <si>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</si>
  <si>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</si>
  <si>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</si>
  <si>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</si>
  <si>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</si>
  <si>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</si>
  <si>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</si>
  <si>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</si>
  <si>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</si>
  <si>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</si>
  <si>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</si>
  <si>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</si>
  <si>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</si>
  <si>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</si>
  <si>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</si>
  <si>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</si>
  <si>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</si>
  <si>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</si>
  <si>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</si>
  <si>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</si>
  <si>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</si>
  <si>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</si>
  <si>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</si>
  <si>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</si>
  <si>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</si>
  <si>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</si>
  <si>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</si>
  <si>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</si>
  <si>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</si>
  <si>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</si>
  <si>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</si>
  <si>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</si>
  <si>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</si>
  <si>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</si>
  <si>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</si>
  <si>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</si>
  <si>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</si>
  <si>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</si>
  <si>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</si>
  <si>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</si>
  <si>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</si>
  <si>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</si>
  <si>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</si>
  <si>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</si>
  <si>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</si>
  <si>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</si>
  <si>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</si>
  <si>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</si>
  <si>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</si>
  <si>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</si>
  <si>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</si>
  <si>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</si>
  <si>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</si>
  <si>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</si>
  <si>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</si>
  <si>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</si>
  <si>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</si>
  <si>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</si>
  <si>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</si>
  <si>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</si>
  <si>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</si>
  <si>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</si>
  <si>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</si>
  <si>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</si>
  <si>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</si>
  <si>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</si>
  <si>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</si>
  <si>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</si>
  <si>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</si>
  <si>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</si>
  <si>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</si>
  <si>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</si>
  <si>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</si>
  <si>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</si>
  <si>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</si>
  <si>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</si>
  <si>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</si>
  <si>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</si>
  <si>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</si>
  <si>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</si>
  <si>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</si>
  <si>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</si>
  <si>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</si>
  <si>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</si>
  <si>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</si>
  <si>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</si>
  <si>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</si>
  <si>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</si>
  <si>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</si>
  <si>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</si>
  <si>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</si>
  <si>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</si>
  <si>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</si>
  <si>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</si>
  <si>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</si>
  <si>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</si>
  <si>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</si>
  <si>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</si>
  <si>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</si>
  <si>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</si>
  <si>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</si>
  <si>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</si>
  <si>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</si>
  <si>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</si>
  <si>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</si>
  <si>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</si>
  <si>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</si>
  <si>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</si>
  <si>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</si>
  <si>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</si>
  <si>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</si>
  <si>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</si>
  <si>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</si>
  <si>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</si>
  <si>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</si>
  <si>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</si>
  <si>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</si>
  <si>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</si>
  <si>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</si>
  <si>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</si>
  <si>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</si>
  <si>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</si>
  <si>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</si>
  <si>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</si>
  <si>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</si>
  <si>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</si>
  <si>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</si>
  <si>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</si>
  <si>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</si>
  <si>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</si>
  <si>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</si>
  <si>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</si>
  <si>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</si>
  <si>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</si>
  <si>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</si>
  <si>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</si>
  <si>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</si>
  <si>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</si>
  <si>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</si>
  <si>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</si>
  <si>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</si>
  <si>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</si>
  <si>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</si>
  <si>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</si>
  <si>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</si>
  <si>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</si>
  <si>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</si>
  <si>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</si>
  <si>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</si>
  <si>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</si>
  <si>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</si>
  <si>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</si>
  <si>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</si>
  <si>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</si>
  <si>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</si>
  <si>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</si>
  <si>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</si>
  <si>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</si>
  <si>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</si>
  <si>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</si>
  <si>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</si>
  <si>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</si>
  <si>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</si>
  <si>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</si>
  <si>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</si>
  <si>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</si>
  <si>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</si>
  <si>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</si>
  <si>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</si>
  <si>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</si>
  <si>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</si>
  <si>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</si>
  <si>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</si>
  <si>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</si>
  <si>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</si>
  <si>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</si>
  <si>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</si>
  <si>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</si>
  <si>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</si>
  <si>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</si>
  <si>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</si>
  <si>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</si>
  <si>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</si>
  <si>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</si>
  <si>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</si>
  <si>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</si>
  <si>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</si>
  <si>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</si>
  <si>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</si>
  <si>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</si>
  <si>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</si>
  <si>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</si>
  <si>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</si>
  <si>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</si>
  <si>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</si>
  <si>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</si>
  <si>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</si>
  <si>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</si>
  <si>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</si>
  <si>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</si>
  <si>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</si>
  <si>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</si>
  <si>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</si>
  <si>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</si>
  <si>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</si>
  <si>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</si>
  <si>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</si>
  <si>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</si>
  <si>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</si>
  <si>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</si>
  <si>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</si>
  <si>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</si>
  <si>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</si>
  <si>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</si>
  <si>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</si>
  <si>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</si>
  <si>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</si>
  <si>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</si>
  <si>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</si>
  <si>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</si>
  <si>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</si>
  <si>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</si>
  <si>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</si>
  <si>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</si>
  <si>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</si>
  <si>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</si>
  <si>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</si>
  <si>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</si>
  <si>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</si>
  <si>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</si>
  <si>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</si>
  <si>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</si>
  <si>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</si>
  <si>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</si>
  <si>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</si>
  <si>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</si>
  <si>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</si>
  <si>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</si>
  <si>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</si>
  <si>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</si>
  <si>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</si>
  <si>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</si>
  <si>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</si>
  <si>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</si>
  <si>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</si>
  <si>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</si>
  <si>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</si>
  <si>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</si>
  <si>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</si>
  <si>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</si>
  <si>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</si>
  <si>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</si>
  <si>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</si>
  <si>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</si>
  <si>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</si>
  <si>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</si>
  <si>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</si>
  <si>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</si>
  <si>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</si>
  <si>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</si>
  <si>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</si>
  <si>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</si>
  <si>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</si>
  <si>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</si>
  <si>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</si>
  <si>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</si>
  <si>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</si>
  <si>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</si>
  <si>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</si>
  <si>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</si>
  <si>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</si>
  <si>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</si>
  <si>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</si>
  <si>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</si>
  <si>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</si>
  <si>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</si>
  <si>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</si>
  <si>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</si>
  <si>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</si>
  <si>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</si>
  <si>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</si>
  <si>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</si>
  <si>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</si>
  <si>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</si>
  <si>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</si>
  <si>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</si>
  <si>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</si>
  <si>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</si>
  <si>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</si>
  <si>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</si>
  <si>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</si>
  <si>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</si>
  <si>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</si>
  <si>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</si>
  <si>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</si>
  <si>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</si>
  <si>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</si>
  <si>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</si>
  <si>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</si>
  <si>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</si>
  <si>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</si>
  <si>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</si>
  <si>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</si>
  <si>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</si>
  <si>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</si>
  <si>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</si>
  <si>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</si>
  <si>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</si>
  <si>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</si>
  <si>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</si>
  <si>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</si>
  <si>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</si>
  <si>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</si>
  <si>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</si>
  <si>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</si>
  <si>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</si>
  <si>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</si>
  <si>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</si>
  <si>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</si>
  <si>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</si>
  <si>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</si>
  <si>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</si>
  <si>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</si>
  <si>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</si>
  <si>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</si>
  <si>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</si>
  <si>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</si>
  <si>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</si>
  <si>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</si>
  <si>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</si>
  <si>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</si>
  <si>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</si>
  <si>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</si>
  <si>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</si>
  <si>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</si>
  <si>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</si>
  <si>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</si>
  <si>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</si>
  <si>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</si>
  <si>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</si>
  <si>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</si>
  <si>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</si>
  <si>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</si>
  <si>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</si>
  <si>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</si>
  <si>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</si>
  <si>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</si>
  <si>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</si>
  <si>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</si>
  <si>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</si>
  <si>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</si>
  <si>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</si>
  <si>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</si>
  <si>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</si>
  <si>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</si>
  <si>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</si>
  <si>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</si>
  <si>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</si>
  <si>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</si>
  <si>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</si>
  <si>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</si>
  <si>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</si>
  <si>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</si>
  <si>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</si>
  <si>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</si>
  <si>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</si>
  <si>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</si>
  <si>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</si>
  <si>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</si>
  <si>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</si>
  <si>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</si>
  <si>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</si>
  <si>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</si>
  <si>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</si>
  <si>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</si>
  <si>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</si>
  <si>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</si>
  <si>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</si>
  <si>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</si>
  <si>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</si>
  <si>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</si>
  <si>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</si>
  <si>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</si>
  <si>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</si>
  <si>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</si>
  <si>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</si>
  <si>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</si>
  <si>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</si>
  <si>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</si>
  <si>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</si>
  <si>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</si>
  <si>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</si>
  <si>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</si>
  <si>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</si>
  <si>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</si>
  <si>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</si>
  <si>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</si>
  <si>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</si>
  <si>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</si>
  <si>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</si>
  <si>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</si>
  <si>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</si>
  <si>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</si>
  <si>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</si>
  <si>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</si>
  <si>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</si>
  <si>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</si>
  <si>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</si>
  <si>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</si>
  <si>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</si>
  <si>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</si>
  <si>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</si>
  <si>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</si>
  <si>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</si>
  <si>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</si>
  <si>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</si>
  <si>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</si>
  <si>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</si>
  <si>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</si>
  <si>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</si>
  <si>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</si>
  <si>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</si>
  <si>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</si>
  <si>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</si>
  <si>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</si>
  <si>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</si>
  <si>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</si>
  <si>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</si>
  <si>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</si>
  <si>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</si>
  <si>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</si>
  <si>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</si>
  <si>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</si>
  <si>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</si>
  <si>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</si>
  <si>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</si>
  <si>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</si>
  <si>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</si>
  <si>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</si>
  <si>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</si>
  <si>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</si>
  <si>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</si>
  <si>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</si>
  <si>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</si>
  <si>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</si>
  <si>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</si>
  <si>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</si>
  <si>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</si>
  <si>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</si>
  <si>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</si>
  <si>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</si>
  <si>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</si>
  <si>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</si>
  <si>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</si>
  <si>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</si>
  <si>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</si>
  <si>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</si>
  <si>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</si>
  <si>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</si>
  <si>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</si>
  <si>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</si>
  <si>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</si>
  <si>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</si>
  <si>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</si>
  <si>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</si>
  <si>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</si>
  <si>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</si>
  <si>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</si>
  <si>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</si>
  <si>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</si>
  <si>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</si>
  <si>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</si>
  <si>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</si>
  <si>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</si>
  <si>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</si>
  <si>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</si>
  <si>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</si>
  <si>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</si>
  <si>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</si>
  <si>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</si>
  <si>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</si>
  <si>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</si>
  <si>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</si>
  <si>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</si>
  <si>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</si>
  <si>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</si>
  <si>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</si>
  <si>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</si>
  <si>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</si>
  <si>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</si>
  <si>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</si>
  <si>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</si>
  <si>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</si>
  <si>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</si>
  <si>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</si>
  <si>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</si>
  <si>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</si>
  <si>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</si>
  <si>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</si>
  <si>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</si>
  <si>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</si>
  <si>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</si>
  <si>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</si>
  <si>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</si>
  <si>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</si>
  <si>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</si>
  <si>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</si>
  <si>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</si>
  <si>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</si>
  <si>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</si>
  <si>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</si>
  <si>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</si>
  <si>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</si>
  <si>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</si>
  <si>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</si>
  <si>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</si>
  <si>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</si>
  <si>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</si>
  <si>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</si>
  <si>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</si>
  <si>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</si>
  <si>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</si>
  <si>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</si>
  <si>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</si>
  <si>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</si>
  <si>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</si>
  <si>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</si>
  <si>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</si>
  <si>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</si>
  <si>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</si>
  <si>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</si>
  <si>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</si>
  <si>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</si>
  <si>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</si>
  <si>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</si>
  <si>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</si>
  <si>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</si>
  <si>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</si>
  <si>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</si>
  <si>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</si>
  <si>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</si>
  <si>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</si>
  <si>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</si>
  <si>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</si>
  <si>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</si>
  <si>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</si>
  <si>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</si>
  <si>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</si>
  <si>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</si>
  <si>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</si>
  <si>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</si>
  <si>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</si>
  <si>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</si>
  <si>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</si>
  <si>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</si>
  <si>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</si>
  <si>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</si>
  <si>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</si>
  <si>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</si>
  <si>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</si>
  <si>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</si>
  <si>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</si>
  <si>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</si>
  <si>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</si>
  <si>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</si>
  <si>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</si>
  <si>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</si>
  <si>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</si>
  <si>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</si>
  <si>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</si>
  <si>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</si>
  <si>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</si>
  <si>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</si>
  <si>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</si>
  <si>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</si>
  <si>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</si>
  <si>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</si>
  <si>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</si>
  <si>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</si>
  <si>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</si>
  <si>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</si>
  <si>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</si>
  <si>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</si>
  <si>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</si>
  <si>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</si>
  <si>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</si>
  <si>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</si>
  <si>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</si>
  <si>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</si>
  <si>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</si>
  <si>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</si>
  <si>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</si>
  <si>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</si>
  <si>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</si>
  <si>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</si>
  <si>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</si>
  <si>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</si>
  <si>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</si>
  <si>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</si>
  <si>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</si>
  <si>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</si>
  <si>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</si>
  <si>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</si>
  <si>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</si>
  <si>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</si>
  <si>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</si>
  <si>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</si>
  <si>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</si>
  <si>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</si>
  <si>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</si>
  <si>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</si>
  <si>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</si>
  <si>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</si>
  <si>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</si>
  <si>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</si>
  <si>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</si>
  <si>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</si>
  <si>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</si>
  <si>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</si>
  <si>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</si>
  <si>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</si>
  <si>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</si>
  <si>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</si>
  <si>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</si>
  <si>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</si>
  <si>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</si>
  <si>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</si>
  <si>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</si>
  <si>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</si>
  <si>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</si>
  <si>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</si>
  <si>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</si>
  <si>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</si>
  <si>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</si>
  <si>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</si>
  <si>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</si>
  <si>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</si>
  <si>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</si>
  <si>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</si>
  <si>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</si>
  <si>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</si>
  <si>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</si>
  <si>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</si>
  <si>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</si>
  <si>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</si>
  <si>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</si>
  <si>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</si>
  <si>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</si>
  <si>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</si>
  <si>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</si>
  <si>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</si>
  <si>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</si>
  <si>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</si>
  <si>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</si>
  <si>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</si>
  <si>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</si>
  <si>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</si>
  <si>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</si>
  <si>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</si>
  <si>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</si>
  <si>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</si>
  <si>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</si>
  <si>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</si>
  <si>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</si>
  <si>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</si>
  <si>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</si>
  <si>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</si>
  <si>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</si>
  <si>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</si>
  <si>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</si>
  <si>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</si>
  <si>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</si>
  <si>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</si>
  <si>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</si>
  <si>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</si>
  <si>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</si>
  <si>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</si>
  <si>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</si>
  <si>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</si>
  <si>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</si>
  <si>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</si>
  <si>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</si>
  <si>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</si>
  <si>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</si>
  <si>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</si>
  <si>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</si>
  <si>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</si>
  <si>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</si>
  <si>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</si>
  <si>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</si>
  <si>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</si>
  <si>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</si>
  <si>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</si>
  <si>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</si>
  <si>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</si>
  <si>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</si>
  <si>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</si>
  <si>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</si>
  <si>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</si>
  <si>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</si>
  <si>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</si>
  <si>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</si>
  <si>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</si>
  <si>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</si>
  <si>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</si>
  <si>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</si>
  <si>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</si>
  <si>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</si>
  <si>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</si>
  <si>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</si>
  <si>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</si>
  <si>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</si>
  <si>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</si>
  <si>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</si>
  <si>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</si>
  <si>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</si>
  <si>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</si>
  <si>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</si>
  <si>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</si>
  <si>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</si>
  <si>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</si>
  <si>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</si>
  <si>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</si>
  <si>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</si>
  <si>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</si>
  <si>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</si>
  <si>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</si>
  <si>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</si>
  <si>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</si>
  <si>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</si>
  <si>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</si>
  <si>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</si>
  <si>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</si>
  <si>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</si>
  <si>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</si>
  <si>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</si>
  <si>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</si>
  <si>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</si>
  <si>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</si>
  <si>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</si>
  <si>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</si>
  <si>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</si>
  <si>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</si>
  <si>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</si>
  <si>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</si>
  <si>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</si>
  <si>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</si>
  <si>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</si>
  <si>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</si>
  <si>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</si>
  <si>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</si>
  <si>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</si>
  <si>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</si>
  <si>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</si>
  <si>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</si>
  <si>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</si>
  <si>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</si>
  <si>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</si>
  <si>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</si>
  <si>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</si>
  <si>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</si>
  <si>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</si>
  <si>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</si>
  <si>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</si>
  <si>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</si>
  <si>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</si>
  <si>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</si>
  <si>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</si>
  <si>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</si>
  <si>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</si>
  <si>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</si>
  <si>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</si>
  <si>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</si>
  <si>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</si>
  <si>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</si>
  <si>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</si>
  <si>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</si>
  <si>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</si>
  <si>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</si>
  <si>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</si>
  <si>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</si>
  <si>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</si>
  <si>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</si>
  <si>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</si>
  <si>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</si>
  <si>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</si>
  <si>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</si>
  <si>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</si>
  <si>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</si>
  <si>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</si>
  <si>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</si>
  <si>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</si>
  <si>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</si>
  <si>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</si>
  <si>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</si>
  <si>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</si>
  <si>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</si>
  <si>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</si>
  <si>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</si>
  <si>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</si>
  <si>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</si>
  <si>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</si>
  <si>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</si>
  <si>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</si>
  <si>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</si>
  <si>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</si>
  <si>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</si>
  <si>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</si>
  <si>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</si>
  <si>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</si>
  <si>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</si>
  <si>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</si>
  <si>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</si>
  <si>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</si>
  <si>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</si>
  <si>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</si>
  <si>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</si>
  <si>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</si>
  <si>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</si>
  <si>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</si>
  <si>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</si>
  <si>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</si>
  <si>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</si>
  <si>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</si>
  <si>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</si>
  <si>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</si>
  <si>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</si>
  <si>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</si>
  <si>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</si>
  <si>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</si>
  <si>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</si>
  <si>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</si>
  <si>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</si>
  <si>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</si>
  <si>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</si>
  <si>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</si>
  <si>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</si>
  <si>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</si>
  <si>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</si>
  <si>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</si>
  <si>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</si>
  <si>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</si>
  <si>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</si>
  <si>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</si>
  <si>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</si>
  <si>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</si>
  <si>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</si>
  <si>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</si>
  <si>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</si>
  <si>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</si>
  <si>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</si>
  <si>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</si>
  <si>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</si>
  <si>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</si>
  <si>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</si>
  <si>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</si>
  <si>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</si>
  <si>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</si>
  <si>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</si>
  <si>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</si>
  <si>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</si>
  <si>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</si>
  <si>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</si>
  <si>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</si>
  <si>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</si>
  <si>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</si>
  <si>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</si>
  <si>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</si>
  <si>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</si>
  <si>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</si>
  <si>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</si>
  <si>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</si>
  <si>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</si>
  <si>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</si>
  <si>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</si>
  <si>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</si>
  <si>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</si>
  <si>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</si>
  <si>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</si>
  <si>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</si>
  <si>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</si>
  <si>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</si>
  <si>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</si>
  <si>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</si>
  <si>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</si>
  <si>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</si>
  <si>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</si>
  <si>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</si>
  <si>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</si>
  <si>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</si>
  <si>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</si>
  <si>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</si>
  <si>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</si>
  <si>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</si>
  <si>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</si>
  <si>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</si>
  <si>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</si>
  <si>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</si>
  <si>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</si>
  <si>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</si>
  <si>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</si>
  <si>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</si>
  <si>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</si>
  <si>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</si>
  <si>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</si>
  <si>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</si>
  <si>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</si>
  <si>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</si>
  <si>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</si>
  <si>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</si>
  <si>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</si>
  <si>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</si>
  <si>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</si>
  <si>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</si>
  <si>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</si>
  <si>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</si>
  <si>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</si>
  <si>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</si>
  <si>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</si>
  <si>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</si>
  <si>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</si>
  <si>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</si>
  <si>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</si>
  <si>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</si>
  <si>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</si>
  <si>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</si>
  <si>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</si>
  <si>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</si>
  <si>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</si>
  <si>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</si>
  <si>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</si>
  <si>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</si>
  <si>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</si>
  <si>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</si>
  <si>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</si>
  <si>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</si>
  <si>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</si>
  <si>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</si>
  <si>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</si>
  <si>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</si>
  <si>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</si>
  <si>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</si>
  <si>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</si>
  <si>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</si>
  <si>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</si>
  <si>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</si>
  <si>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</si>
  <si>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</si>
  <si>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</si>
  <si>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</si>
  <si>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</si>
  <si>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</si>
  <si>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</si>
  <si>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</si>
  <si>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</si>
  <si>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</si>
  <si>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</si>
  <si>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</si>
  <si>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</si>
  <si>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</si>
  <si>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</si>
  <si>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</si>
  <si>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</si>
  <si>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</si>
  <si>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</si>
  <si>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</si>
  <si>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</si>
  <si>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</si>
  <si>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</si>
  <si>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</si>
  <si>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</si>
  <si>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</si>
  <si>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</si>
  <si>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</si>
  <si>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</si>
  <si>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</si>
  <si>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</si>
  <si>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</si>
  <si>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</si>
  <si>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</si>
  <si>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</si>
  <si>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</si>
  <si>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</si>
  <si>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</si>
  <si>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</si>
  <si>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</si>
  <si>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</si>
  <si>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</si>
  <si>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</si>
  <si>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</si>
  <si>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</si>
  <si>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</si>
  <si>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</si>
  <si>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</si>
  <si>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</si>
  <si>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</si>
  <si>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</si>
  <si>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</si>
  <si>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</si>
  <si>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</si>
  <si>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</si>
  <si>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</si>
  <si>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</si>
  <si>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</si>
  <si>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</si>
  <si>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</si>
  <si>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</si>
  <si>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</si>
  <si>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</si>
  <si>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</si>
  <si>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</si>
  <si>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</si>
  <si>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</si>
  <si>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</si>
  <si>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</si>
  <si>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</si>
  <si>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</si>
  <si>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</si>
  <si>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</si>
  <si>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</si>
  <si>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</si>
  <si>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</si>
  <si>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</si>
  <si>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</si>
  <si>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</si>
  <si>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</si>
  <si>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</si>
  <si>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</si>
  <si>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</si>
  <si>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</si>
  <si>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</si>
  <si>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</si>
  <si>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</si>
  <si>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</si>
  <si>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</si>
  <si>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</si>
  <si>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</si>
  <si>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</si>
  <si>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</si>
  <si>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</si>
  <si>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</si>
  <si>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</si>
  <si>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</si>
  <si>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</si>
  <si>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</si>
  <si>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</si>
  <si>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</si>
  <si>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</si>
  <si>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</si>
  <si>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</si>
  <si>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</si>
  <si>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</si>
  <si>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</si>
  <si>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</si>
  <si>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</si>
  <si>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</si>
  <si>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</si>
  <si>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</si>
  <si>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</si>
  <si>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</si>
  <si>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</si>
  <si>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</si>
  <si>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</si>
  <si>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</si>
  <si>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</si>
  <si>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</si>
  <si>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</si>
  <si>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</si>
  <si>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</si>
  <si>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</si>
  <si>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</si>
  <si>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</si>
  <si>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</si>
  <si>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</si>
  <si>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</si>
  <si>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</si>
  <si>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</si>
  <si>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</si>
  <si>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</si>
  <si>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</si>
  <si>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</si>
  <si>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</si>
  <si>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</si>
  <si>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</si>
  <si>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</si>
  <si>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</si>
  <si>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</si>
  <si>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</si>
  <si>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</si>
  <si>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</si>
  <si>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</si>
  <si>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</si>
  <si>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</si>
  <si>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</si>
  <si>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</si>
  <si>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</si>
  <si>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</si>
  <si>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</si>
  <si>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</si>
  <si>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</si>
  <si>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</si>
  <si>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</si>
  <si>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</si>
  <si>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</si>
  <si>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</si>
  <si>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</si>
  <si>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</si>
  <si>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</si>
  <si>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</si>
  <si>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</si>
  <si>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</si>
  <si>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</si>
  <si>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</si>
  <si>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</si>
  <si>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</si>
  <si>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</si>
  <si>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</si>
  <si>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</si>
  <si>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</si>
  <si>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</si>
  <si>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</si>
  <si>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</si>
  <si>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</si>
  <si>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</si>
  <si>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</si>
  <si>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</si>
  <si>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</si>
  <si>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</si>
  <si>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</si>
  <si>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</si>
  <si>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</si>
  <si>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</si>
  <si>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</si>
  <si>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</si>
  <si>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</si>
  <si>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</si>
  <si>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</si>
  <si>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</si>
  <si>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</si>
  <si>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</si>
  <si>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</si>
  <si>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</si>
  <si>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</si>
  <si>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</si>
  <si>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</si>
  <si>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</si>
  <si>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</si>
  <si>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</si>
  <si>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</si>
  <si>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</si>
  <si>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</si>
  <si>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</si>
  <si>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</si>
  <si>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</si>
  <si>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</si>
  <si>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</si>
  <si>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</si>
  <si>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</si>
  <si>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</si>
  <si>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</si>
  <si>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</si>
  <si>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</si>
  <si>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</si>
  <si>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</si>
  <si>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</si>
  <si>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</si>
  <si>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</si>
  <si>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</si>
  <si>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</si>
  <si>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</si>
  <si>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</si>
  <si>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</si>
  <si>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</si>
  <si>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</si>
  <si>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</si>
  <si>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</si>
  <si>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</si>
  <si>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</si>
  <si>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</si>
  <si>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</si>
  <si>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</si>
  <si>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</si>
  <si>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</si>
  <si>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</si>
  <si>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</si>
  <si>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</si>
  <si>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</si>
  <si>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</si>
  <si>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</si>
  <si>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</si>
  <si>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</si>
  <si>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</si>
  <si>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</si>
  <si>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</si>
  <si>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</si>
  <si>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</si>
  <si>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</si>
  <si>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</si>
  <si>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</si>
  <si>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</si>
  <si>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</si>
  <si>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</si>
  <si>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</si>
  <si>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</si>
  <si>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</si>
  <si>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</si>
  <si>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</si>
  <si>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</si>
  <si>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</si>
  <si>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</si>
  <si>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</si>
  <si>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</si>
  <si>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</si>
  <si>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</si>
  <si>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</si>
  <si>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</si>
  <si>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</si>
  <si>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</si>
  <si>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</si>
  <si>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</si>
  <si>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</si>
  <si>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</si>
  <si>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</si>
  <si>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</si>
  <si>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</si>
  <si>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</si>
  <si>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</si>
  <si>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</si>
  <si>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</si>
  <si>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</si>
  <si>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</si>
  <si>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</si>
  <si>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</si>
  <si>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</si>
  <si>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</si>
  <si>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</si>
  <si>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</si>
  <si>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</si>
  <si>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</si>
  <si>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</si>
  <si>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</si>
  <si>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</si>
  <si>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</si>
  <si>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</si>
  <si>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</si>
  <si>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</si>
  <si>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</si>
  <si>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</si>
  <si>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</si>
  <si>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</si>
  <si>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</si>
  <si>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</si>
  <si>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</si>
  <si>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</si>
  <si>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</si>
  <si>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</si>
  <si>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</si>
  <si>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</si>
  <si>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</si>
  <si>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</si>
  <si>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</si>
  <si>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</si>
  <si>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</si>
  <si>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</si>
  <si>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</si>
  <si>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</si>
  <si>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</si>
  <si>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</si>
  <si>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</si>
  <si>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</si>
  <si>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</si>
  <si>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</si>
  <si>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</si>
  <si>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</si>
  <si>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</si>
  <si>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</si>
  <si>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</si>
  <si>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</si>
  <si>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</si>
  <si>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</si>
  <si>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</si>
  <si>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</si>
  <si>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</si>
  <si>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</si>
  <si>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</si>
  <si>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</si>
  <si>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</si>
  <si>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</si>
  <si>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</si>
  <si>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</si>
  <si>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</si>
  <si>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</si>
  <si>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</si>
  <si>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</si>
  <si>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</si>
  <si>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</si>
  <si>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</si>
  <si>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</si>
  <si>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</si>
  <si>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</si>
  <si>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</si>
  <si>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</si>
  <si>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</si>
  <si>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</si>
  <si>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</si>
  <si>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</si>
  <si>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</si>
  <si>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</si>
  <si>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</si>
  <si>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</si>
  <si>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</si>
  <si>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</si>
  <si>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</si>
  <si>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</si>
  <si>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</si>
  <si>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</si>
  <si>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</si>
  <si>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</si>
  <si>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</si>
  <si>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</si>
  <si>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</si>
  <si>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</si>
  <si>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</si>
  <si>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</si>
  <si>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</si>
  <si>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</si>
  <si>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</si>
  <si>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</si>
  <si>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</si>
  <si>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</si>
  <si>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</si>
  <si>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</si>
  <si>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</si>
  <si>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</si>
  <si>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</si>
  <si>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</si>
  <si>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</si>
  <si>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</si>
  <si>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</si>
  <si>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</si>
  <si>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</si>
  <si>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</si>
  <si>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</si>
  <si>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</si>
  <si>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</si>
  <si>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</si>
  <si>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</si>
  <si>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</si>
  <si>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</si>
  <si>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</si>
  <si>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</si>
  <si>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</si>
  <si>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</si>
  <si>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</si>
  <si>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</si>
  <si>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</si>
  <si>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</si>
  <si>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</si>
  <si>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</si>
  <si>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</si>
  <si>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</si>
  <si>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</si>
  <si>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</si>
  <si>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</si>
  <si>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</si>
  <si>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</si>
  <si>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</si>
  <si>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</si>
  <si>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</si>
  <si>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</si>
  <si>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</si>
  <si>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</si>
  <si>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</si>
  <si>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</si>
  <si>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</si>
  <si>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</si>
  <si>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</si>
  <si>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</si>
  <si>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</si>
  <si>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</si>
  <si>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</si>
  <si>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</si>
  <si>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</si>
  <si>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</si>
  <si>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</si>
  <si>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</si>
  <si>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</si>
  <si>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</si>
  <si>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</si>
  <si>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</si>
  <si>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</si>
  <si>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</si>
  <si>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</si>
  <si>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</si>
  <si>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</si>
  <si>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</si>
  <si>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</si>
  <si>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</si>
  <si>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</si>
  <si>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</si>
  <si>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</si>
  <si>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</si>
  <si>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</si>
  <si>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</si>
  <si>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</si>
  <si>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</si>
  <si>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</si>
  <si>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</si>
  <si>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</si>
  <si>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</si>
  <si>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</si>
  <si>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</si>
  <si>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</si>
  <si>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</si>
  <si>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</si>
  <si>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</si>
  <si>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</si>
  <si>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</si>
  <si>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</si>
  <si>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</si>
  <si>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</si>
  <si>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</si>
  <si>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</si>
  <si>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</si>
  <si>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</si>
  <si>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</si>
  <si>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</si>
  <si>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</si>
  <si>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</si>
  <si>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</si>
  <si>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</si>
  <si>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</si>
  <si>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</si>
  <si>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</si>
  <si>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</si>
  <si>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</si>
  <si>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</si>
  <si>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</si>
  <si>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</si>
  <si>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</si>
  <si>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</si>
  <si>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</si>
  <si>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</si>
  <si>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</si>
  <si>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</si>
  <si>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</si>
  <si>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</si>
  <si>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</si>
  <si>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</si>
  <si>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</si>
  <si>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</si>
  <si>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</si>
  <si>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</si>
  <si>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</si>
  <si>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</si>
  <si>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</si>
  <si>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</si>
  <si>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</si>
  <si>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</si>
  <si>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</si>
  <si>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</si>
  <si>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</si>
  <si>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</si>
  <si>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</si>
  <si>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</si>
  <si>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</si>
  <si>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</si>
  <si>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</si>
  <si>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</si>
  <si>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</si>
  <si>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</si>
  <si>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</si>
  <si>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</si>
  <si>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</si>
  <si>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</si>
  <si>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</si>
  <si>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</si>
  <si>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</si>
  <si>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</si>
  <si>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</si>
  <si>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</si>
  <si>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</si>
  <si>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</si>
  <si>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</si>
  <si>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</si>
  <si>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</si>
  <si>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</si>
  <si>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</si>
  <si>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</si>
  <si>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</si>
  <si>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</si>
  <si>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</si>
  <si>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</si>
  <si>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</si>
  <si>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</si>
  <si>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</si>
  <si>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</si>
  <si>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</si>
  <si>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</si>
  <si>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</si>
  <si>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</si>
  <si>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</si>
  <si>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</si>
  <si>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</si>
  <si>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</si>
  <si>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</si>
  <si>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</si>
  <si>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</si>
  <si>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</si>
  <si>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</si>
  <si>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</si>
  <si>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</si>
  <si>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</si>
  <si>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</si>
  <si>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</si>
  <si>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</si>
  <si>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</si>
  <si>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</si>
  <si>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</si>
  <si>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</si>
  <si>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</si>
  <si>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</si>
  <si>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</si>
  <si>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</si>
  <si>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</si>
  <si>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</si>
  <si>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</si>
  <si>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</si>
  <si>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</si>
  <si>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</si>
  <si>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</si>
  <si>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</si>
  <si>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</si>
  <si>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</si>
  <si>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</si>
  <si>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</si>
  <si>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</si>
  <si>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</si>
  <si>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</si>
  <si>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</si>
  <si>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</si>
  <si>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</si>
  <si>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</si>
  <si>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</si>
  <si>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</si>
  <si>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</si>
  <si>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</si>
  <si>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</si>
  <si>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</si>
  <si>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</si>
  <si>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</si>
  <si>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</si>
  <si>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</si>
  <si>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</si>
  <si>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</si>
  <si>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</si>
  <si>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</si>
  <si>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</si>
  <si>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</si>
  <si>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</si>
  <si>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</si>
  <si>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</si>
  <si>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</si>
  <si>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</si>
  <si>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</si>
  <si>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</si>
  <si>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</si>
  <si>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</si>
  <si>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</si>
  <si>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</si>
  <si>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</si>
  <si>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</si>
  <si>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</si>
  <si>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</si>
  <si>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</si>
  <si>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</si>
  <si>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</si>
  <si>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</si>
  <si>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</si>
  <si>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</si>
  <si>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</si>
  <si>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</si>
  <si>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</si>
  <si>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</si>
  <si>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</si>
  <si>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</si>
  <si>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</si>
  <si>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</si>
  <si>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</si>
  <si>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</si>
  <si>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</si>
  <si>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</si>
  <si>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</si>
  <si>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</si>
  <si>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</si>
  <si>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</si>
  <si>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</si>
  <si>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</si>
  <si>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</si>
  <si>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</si>
  <si>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</si>
  <si>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</si>
  <si>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</si>
  <si>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</si>
  <si>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</si>
  <si>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</si>
  <si>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</si>
  <si>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</si>
  <si>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</si>
  <si>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</si>
  <si>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</si>
  <si>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</si>
  <si>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</si>
  <si>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</si>
  <si>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</si>
  <si>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</si>
  <si>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</si>
  <si>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</si>
  <si>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</si>
  <si>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</si>
  <si>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</si>
  <si>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</si>
  <si>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</si>
  <si>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</si>
  <si>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</si>
  <si>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</si>
  <si>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</si>
  <si>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</si>
  <si>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</si>
  <si>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</si>
  <si>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</si>
  <si>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</si>
  <si>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</si>
  <si>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</si>
  <si>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</si>
  <si>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</si>
  <si>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</si>
  <si>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</si>
  <si>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</si>
  <si>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</si>
  <si>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</si>
  <si>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</si>
  <si>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</si>
  <si>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</si>
  <si>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</si>
  <si>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</si>
  <si>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</si>
  <si>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</si>
  <si>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</si>
  <si>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</si>
  <si>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</si>
  <si>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</si>
  <si>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</si>
  <si>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</si>
  <si>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</si>
  <si>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</si>
  <si>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</si>
  <si>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</si>
  <si>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</si>
  <si>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</si>
  <si>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</si>
  <si>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</si>
  <si>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</si>
  <si>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</si>
  <si>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</si>
  <si>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</si>
  <si>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</si>
  <si>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</si>
  <si>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</si>
  <si>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</si>
  <si>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</si>
  <si>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</si>
  <si>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</si>
  <si>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</si>
  <si>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</si>
  <si>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</si>
  <si>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</si>
  <si>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</si>
  <si>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</si>
  <si>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</si>
  <si>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</si>
  <si>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</si>
  <si>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</si>
  <si>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</si>
  <si>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</si>
  <si>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</si>
  <si>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</si>
  <si>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</si>
  <si>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</si>
  <si>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</si>
  <si>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</si>
  <si>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</si>
  <si>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</si>
  <si>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</si>
  <si>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</si>
  <si>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</si>
  <si>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</si>
  <si>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</si>
  <si>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</si>
  <si>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</si>
  <si>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</si>
  <si>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</si>
  <si>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</si>
  <si>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</si>
  <si>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</si>
  <si>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</si>
  <si>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</si>
  <si>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</si>
  <si>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</si>
  <si>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</si>
  <si>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</si>
  <si>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</si>
  <si>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</si>
  <si>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</si>
  <si>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</si>
  <si>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</si>
  <si>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</si>
  <si>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</si>
  <si>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</si>
  <si>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</si>
  <si>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</si>
  <si>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</si>
  <si>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</si>
  <si>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</si>
  <si>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</si>
  <si>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</si>
  <si>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</si>
  <si>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</si>
  <si>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</si>
  <si>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</si>
  <si>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</si>
  <si>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</si>
  <si>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</si>
  <si>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</si>
  <si>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</si>
  <si>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</si>
  <si>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</si>
  <si>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</si>
  <si>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</si>
  <si>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</si>
  <si>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</si>
  <si>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</si>
  <si>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</si>
  <si>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</si>
  <si>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</si>
  <si>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</si>
  <si>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</si>
  <si>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</si>
  <si>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</si>
  <si>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</si>
  <si>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</si>
  <si>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</si>
  <si>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</si>
  <si>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</si>
  <si>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</si>
  <si>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</si>
  <si>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</si>
  <si>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</si>
  <si>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</si>
  <si>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</si>
  <si>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</si>
  <si>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</si>
  <si>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</si>
  <si>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</si>
  <si>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</si>
  <si>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</si>
  <si>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</si>
  <si>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</si>
  <si>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</si>
  <si>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</si>
  <si>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</si>
  <si>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</si>
  <si>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</si>
  <si>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</si>
  <si>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</si>
  <si>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</si>
  <si>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</si>
  <si>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</si>
  <si>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</si>
  <si>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</si>
  <si>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</si>
  <si>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</si>
  <si>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</si>
  <si>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</si>
  <si>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</si>
  <si>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</si>
  <si>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</si>
  <si>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</si>
  <si>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</si>
  <si>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</si>
  <si>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</si>
  <si>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</si>
  <si>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</si>
  <si>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</si>
  <si>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</si>
  <si>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</si>
  <si>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</si>
  <si>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</si>
  <si>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</si>
  <si>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</si>
  <si>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</si>
  <si>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</si>
  <si>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</si>
  <si>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</si>
  <si>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</si>
  <si>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</si>
  <si>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</si>
  <si>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</si>
  <si>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</si>
  <si>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</si>
  <si>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</si>
  <si>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</si>
  <si>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</si>
  <si>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</si>
  <si>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</si>
  <si>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</si>
  <si>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</si>
  <si>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</si>
  <si>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</si>
  <si>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</si>
  <si>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</si>
  <si>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</si>
  <si>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</si>
  <si>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</si>
  <si>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</si>
  <si>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</si>
  <si>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</si>
  <si>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</si>
  <si>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</si>
  <si>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</si>
  <si>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</si>
  <si>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</si>
  <si>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</si>
  <si>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</si>
  <si>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</si>
  <si>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</si>
  <si>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</si>
  <si>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</si>
  <si>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</si>
  <si>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</si>
  <si>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</si>
  <si>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</si>
  <si>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</si>
  <si>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</si>
  <si>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</si>
  <si>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</si>
  <si>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</si>
  <si>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</si>
  <si>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</si>
  <si>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</si>
  <si>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</si>
  <si>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</si>
  <si>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</si>
  <si>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</si>
  <si>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</si>
  <si>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</si>
  <si>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</si>
  <si>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</si>
  <si>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</si>
  <si>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</si>
  <si>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</si>
  <si>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</si>
  <si>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</si>
  <si>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</si>
  <si>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</si>
  <si>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</si>
  <si>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</si>
  <si>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</si>
  <si>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</si>
  <si>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</si>
  <si>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</si>
  <si>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</si>
  <si>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</si>
  <si>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</si>
  <si>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</si>
  <si>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</si>
  <si>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</si>
  <si>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</si>
  <si>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</si>
  <si>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</si>
  <si>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</si>
  <si>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</si>
  <si>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</si>
  <si>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</si>
  <si>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</si>
  <si>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</si>
  <si>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</si>
  <si>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</si>
  <si>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</si>
  <si>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</si>
  <si>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</si>
  <si>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</si>
  <si>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</si>
  <si>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</si>
  <si>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</si>
  <si>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</si>
  <si>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</si>
  <si>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</si>
  <si>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</si>
  <si>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</si>
  <si>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</si>
  <si>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</si>
  <si>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</si>
  <si>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</si>
  <si>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</si>
  <si>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</si>
  <si>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</si>
  <si>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</si>
  <si>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</si>
  <si>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</si>
  <si>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</si>
  <si>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</si>
  <si>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</si>
  <si>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</si>
  <si>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</si>
  <si>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</si>
  <si>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</si>
  <si>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</si>
  <si>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</si>
  <si>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</si>
  <si>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</si>
  <si>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</si>
  <si>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</si>
  <si>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</si>
  <si>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</si>
  <si>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</si>
  <si>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</si>
  <si>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</si>
  <si>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</si>
  <si>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</si>
  <si>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</si>
  <si>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</si>
  <si>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</si>
  <si>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</si>
  <si>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</si>
  <si>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</si>
  <si>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</si>
  <si>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</si>
  <si>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</si>
  <si>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</si>
  <si>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</si>
  <si>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</si>
  <si>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</si>
  <si>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</si>
  <si>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</si>
  <si>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</si>
  <si>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</si>
  <si>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</si>
  <si>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</si>
  <si>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</si>
  <si>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</si>
  <si>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</si>
  <si>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</si>
  <si>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</si>
  <si>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</si>
  <si>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</si>
  <si>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</si>
  <si>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</si>
  <si>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</si>
  <si>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</si>
  <si>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</si>
  <si>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</si>
  <si>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</si>
  <si>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</si>
  <si>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</si>
  <si>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</si>
  <si>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</si>
  <si>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</si>
  <si>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</si>
  <si>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</si>
  <si>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</si>
  <si>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</si>
  <si>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</si>
  <si>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</si>
  <si>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</si>
  <si>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</si>
  <si>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</si>
  <si>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</si>
  <si>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</si>
  <si>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</si>
  <si>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</si>
  <si>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</si>
  <si>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</si>
  <si>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</si>
  <si>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</si>
  <si>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</si>
  <si>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</si>
  <si>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</si>
  <si>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</si>
  <si>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</si>
  <si>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</si>
  <si>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</si>
  <si>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</si>
  <si>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</si>
  <si>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</si>
  <si>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</si>
  <si>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</si>
  <si>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</si>
  <si>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</si>
  <si>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</si>
  <si>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</si>
  <si>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</si>
  <si>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</si>
  <si>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</si>
  <si>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</si>
  <si>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</si>
  <si>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</si>
  <si>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</si>
  <si>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</si>
  <si>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</si>
  <si>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</si>
  <si>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</si>
  <si>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</si>
  <si>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</si>
  <si>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</si>
  <si>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</si>
  <si>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</si>
  <si>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</si>
  <si>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</si>
  <si>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</si>
  <si>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</si>
  <si>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</si>
  <si>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</si>
  <si>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</si>
  <si>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</si>
  <si>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</si>
  <si>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</si>
  <si>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</si>
  <si>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</si>
  <si>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</si>
  <si>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</si>
  <si>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</si>
  <si>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</si>
  <si>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</si>
  <si>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</si>
  <si>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</si>
  <si>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</si>
  <si>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</si>
  <si>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</si>
  <si>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</si>
  <si>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</si>
  <si>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</si>
  <si>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</si>
  <si>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</si>
  <si>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</si>
  <si>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</si>
  <si>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</si>
  <si>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</si>
  <si>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</si>
  <si>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</si>
  <si>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</si>
  <si>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</si>
  <si>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</si>
  <si>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</si>
  <si>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</si>
  <si>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</si>
  <si>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</si>
  <si>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</si>
  <si>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</si>
  <si>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</si>
  <si>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</si>
  <si>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</si>
  <si>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</si>
  <si>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</si>
  <si>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</si>
  <si>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</si>
  <si>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</si>
  <si>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</si>
  <si>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</si>
  <si>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</si>
  <si>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</si>
  <si>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</si>
  <si>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</si>
  <si>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</si>
  <si>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</si>
  <si>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</si>
  <si>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</si>
  <si>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</si>
  <si>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</si>
  <si>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</si>
  <si>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</si>
  <si>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</si>
  <si>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</si>
  <si>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</si>
  <si>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</si>
  <si>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</si>
  <si>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</si>
  <si>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</si>
  <si>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</si>
  <si>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</si>
  <si>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</si>
  <si>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</si>
  <si>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</si>
  <si>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</si>
  <si>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</si>
  <si>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</si>
  <si>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</si>
  <si>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</si>
  <si>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</si>
  <si>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</si>
  <si>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</si>
  <si>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</si>
  <si>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</si>
  <si>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</si>
  <si>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</si>
  <si>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</si>
  <si>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</si>
  <si>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</si>
  <si>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</si>
  <si>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</si>
  <si>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</si>
  <si>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</si>
  <si>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</si>
  <si>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</si>
  <si>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</si>
  <si>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</si>
  <si>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</si>
  <si>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</si>
  <si>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</si>
  <si>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</si>
  <si>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</si>
  <si>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</si>
  <si>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</si>
  <si>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</si>
  <si>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</si>
  <si>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</si>
  <si>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</si>
  <si>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</si>
  <si>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</si>
  <si>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</si>
  <si>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</si>
  <si>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</si>
  <si>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</si>
  <si>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</si>
  <si>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</si>
  <si>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</si>
  <si>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</si>
  <si>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</si>
  <si>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</si>
  <si>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</si>
  <si>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</si>
  <si>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</si>
  <si>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</si>
  <si>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</si>
  <si>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</si>
  <si>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</si>
  <si>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</si>
  <si>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</si>
  <si>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</si>
  <si>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</si>
  <si>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</si>
  <si>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</si>
  <si>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</si>
  <si>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</si>
  <si>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</si>
  <si>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</si>
  <si>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</si>
  <si>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</si>
  <si>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</si>
  <si>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</si>
  <si>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</si>
  <si>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</si>
  <si>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</si>
  <si>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</si>
  <si>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</si>
  <si>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</si>
  <si>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</si>
  <si>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</si>
  <si>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</si>
  <si>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</si>
  <si>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</si>
  <si>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</si>
  <si>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</si>
  <si>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</si>
  <si>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</si>
  <si>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</si>
  <si>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</si>
  <si>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</si>
  <si>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</si>
  <si>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</si>
  <si>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</si>
  <si>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</si>
  <si>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</si>
  <si>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</si>
  <si>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</si>
  <si>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</si>
  <si>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</si>
  <si>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</si>
  <si>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</si>
  <si>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</si>
  <si>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</si>
  <si>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</si>
  <si>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</si>
  <si>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</si>
  <si>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</si>
  <si>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</si>
  <si>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</si>
  <si>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</si>
  <si>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</si>
  <si>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</si>
  <si>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</si>
  <si>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</si>
  <si>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</si>
  <si>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</si>
  <si>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</si>
  <si>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</si>
  <si>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</si>
  <si>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</si>
  <si>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</si>
  <si>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</si>
  <si>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</si>
  <si>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</si>
  <si>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</si>
  <si>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</si>
  <si>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</si>
  <si>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</si>
  <si>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</si>
  <si>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</si>
  <si>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</si>
  <si>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</si>
  <si>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</si>
  <si>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</si>
  <si>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</si>
  <si>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</si>
  <si>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</si>
  <si>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</si>
  <si>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</si>
  <si>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</si>
  <si>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</si>
  <si>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</si>
  <si>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</si>
  <si>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</si>
  <si>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</si>
  <si>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</si>
  <si>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</si>
  <si>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</si>
  <si>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</si>
  <si>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</si>
  <si>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</si>
  <si>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</si>
  <si>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</si>
  <si>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</si>
  <si>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</si>
  <si>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</si>
  <si>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</si>
  <si>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</si>
  <si>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</si>
  <si>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</si>
  <si>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</si>
  <si>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</si>
  <si>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</si>
  <si>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</si>
  <si>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</si>
  <si>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</si>
  <si>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</si>
  <si>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</si>
  <si>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</si>
  <si>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</si>
  <si>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</si>
  <si>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</si>
  <si>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</si>
  <si>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</si>
  <si>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</si>
  <si>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</si>
  <si>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</si>
  <si>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</si>
  <si>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</si>
  <si>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</si>
  <si>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</si>
  <si>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</si>
  <si>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</si>
  <si>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</si>
  <si>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</si>
  <si>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</si>
  <si>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</si>
  <si>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</si>
  <si>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</si>
  <si>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</si>
  <si>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</si>
  <si>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</si>
  <si>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</si>
  <si>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</si>
  <si>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</si>
  <si>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</si>
  <si>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</si>
  <si>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</si>
  <si>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</si>
  <si>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</si>
  <si>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</si>
  <si>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</si>
  <si>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</si>
  <si>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</si>
  <si>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</si>
  <si>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</si>
  <si>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</si>
  <si>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</si>
  <si>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</si>
  <si>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</si>
  <si>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</si>
  <si>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</si>
  <si>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</si>
  <si>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</si>
  <si>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</si>
  <si>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</si>
  <si>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</si>
  <si>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</si>
  <si>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</si>
  <si>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</si>
  <si>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</si>
  <si>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</si>
  <si>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</si>
  <si>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</si>
  <si>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</si>
  <si>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</si>
  <si>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</si>
  <si>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</si>
  <si>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</si>
  <si>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</si>
  <si>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</si>
  <si>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</si>
  <si>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</si>
  <si>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</si>
  <si>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</si>
  <si>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</si>
  <si>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</si>
  <si>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</si>
  <si>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</si>
  <si>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</si>
  <si>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</si>
  <si>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</si>
  <si>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</si>
  <si>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</si>
  <si>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</si>
  <si>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</si>
  <si>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</si>
  <si>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</si>
  <si>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</si>
  <si>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</si>
  <si>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</si>
  <si>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</si>
  <si>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</si>
  <si>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</si>
  <si>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</si>
  <si>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</si>
  <si>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</si>
  <si>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</si>
  <si>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</si>
  <si>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</si>
  <si>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</si>
  <si>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</si>
  <si>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</si>
  <si>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</si>
  <si>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</si>
  <si>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</si>
  <si>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</si>
  <si>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</si>
  <si>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</si>
  <si>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</si>
  <si>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</si>
  <si>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</si>
  <si>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</si>
  <si>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</si>
  <si>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</si>
  <si>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</si>
  <si>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</si>
  <si>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</si>
  <si>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</si>
  <si>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</si>
  <si>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</si>
  <si>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</si>
  <si>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</si>
  <si>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</si>
  <si>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</si>
  <si>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</si>
  <si>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</si>
  <si>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</si>
  <si>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</si>
  <si>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</si>
  <si>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</si>
  <si>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</si>
  <si>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</si>
  <si>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</si>
  <si>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</si>
  <si>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</si>
  <si>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</si>
  <si>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</si>
  <si>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</si>
  <si>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</si>
  <si>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</si>
  <si>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</si>
  <si>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</si>
  <si>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</si>
  <si>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</si>
  <si>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</si>
  <si>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</si>
  <si>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</si>
  <si>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</si>
  <si>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</si>
  <si>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</si>
  <si>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</si>
  <si>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</si>
  <si>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</si>
  <si>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</si>
  <si>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</si>
  <si>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</si>
  <si>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</si>
  <si>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</si>
  <si>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</si>
  <si>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</si>
  <si>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</si>
  <si>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</si>
  <si>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</si>
  <si>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</si>
  <si>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</si>
  <si>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</si>
  <si>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</si>
  <si>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</si>
  <si>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</si>
  <si>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</si>
  <si>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</si>
  <si>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</si>
  <si>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</si>
  <si>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</si>
  <si>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</si>
  <si>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</si>
  <si>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</si>
  <si>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</si>
  <si>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</si>
  <si>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</si>
  <si>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</si>
  <si>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</si>
  <si>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</si>
  <si>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</si>
  <si>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</si>
  <si>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</si>
  <si>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</si>
  <si>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</si>
  <si>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</si>
  <si>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</si>
  <si>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</si>
  <si>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</si>
  <si>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</si>
  <si>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</si>
  <si>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</si>
  <si>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</si>
  <si>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</si>
  <si>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</si>
  <si>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</si>
  <si>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</si>
  <si>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</si>
  <si>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</si>
  <si>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</si>
  <si>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</si>
  <si>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</si>
  <si>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</si>
  <si>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</si>
  <si>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</si>
  <si>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</si>
  <si>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</si>
  <si>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</si>
  <si>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</si>
  <si>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</si>
  <si>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</si>
  <si>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</si>
  <si>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</si>
  <si>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</si>
  <si>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</si>
  <si>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</si>
  <si>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</si>
  <si>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</si>
  <si>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</si>
  <si>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</si>
  <si>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</si>
  <si>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</si>
  <si>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</si>
  <si>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</si>
  <si>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</si>
  <si>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</si>
  <si>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</si>
  <si>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</si>
  <si>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</si>
  <si>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</si>
  <si>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</si>
  <si>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</si>
  <si>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</si>
  <si>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</si>
  <si>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</si>
  <si>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</si>
  <si>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</si>
  <si>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</si>
  <si>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</si>
  <si>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</si>
  <si>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</si>
  <si>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</si>
  <si>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</si>
  <si>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</si>
  <si>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</si>
  <si>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</si>
  <si>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</si>
  <si>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</si>
  <si>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</si>
  <si>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</si>
  <si>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</si>
  <si>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</si>
  <si>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</si>
  <si>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</si>
  <si>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</si>
  <si>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</si>
  <si>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</si>
  <si>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</si>
  <si>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</si>
  <si>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</si>
  <si>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</si>
  <si>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</si>
  <si>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</si>
  <si>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</si>
  <si>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</si>
  <si>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</si>
  <si>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</si>
  <si>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</si>
  <si>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</si>
  <si>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</si>
  <si>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</si>
  <si>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</si>
  <si>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</si>
  <si>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</si>
  <si>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</si>
  <si>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</si>
  <si>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</si>
  <si>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</si>
  <si>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</si>
  <si>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</si>
  <si>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</si>
  <si>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</si>
  <si>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</si>
  <si>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</si>
  <si>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</si>
  <si>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</si>
  <si>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</si>
  <si>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</si>
  <si>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</si>
  <si>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</si>
  <si>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</si>
  <si>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</si>
  <si>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</si>
  <si>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</si>
  <si>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</si>
  <si>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</si>
  <si>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</si>
  <si>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</si>
  <si>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</si>
  <si>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</si>
  <si>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</si>
  <si>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</si>
  <si>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</si>
  <si>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</si>
  <si>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</si>
  <si>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</si>
  <si>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</si>
  <si>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</si>
  <si>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</si>
  <si>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</si>
  <si>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</si>
  <si>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</si>
  <si>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</si>
  <si>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</si>
  <si>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</si>
  <si>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</si>
  <si>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</si>
  <si>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</si>
  <si>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</si>
  <si>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</si>
  <si>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</si>
  <si>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</si>
  <si>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</si>
  <si>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</si>
  <si>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</si>
  <si>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</si>
  <si>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</si>
  <si>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</si>
  <si>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</si>
  <si>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</si>
  <si>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</si>
  <si>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</si>
  <si>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</si>
  <si>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</si>
  <si>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</si>
  <si>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</si>
  <si>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</si>
  <si>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</si>
  <si>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</si>
  <si>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</si>
  <si>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</si>
  <si>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</si>
  <si>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</si>
  <si>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</si>
  <si>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</si>
  <si>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</si>
  <si>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</si>
  <si>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</si>
  <si>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</si>
  <si>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</si>
  <si>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</si>
  <si>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</si>
  <si>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</si>
  <si>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</si>
  <si>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</si>
  <si>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</si>
  <si>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</si>
  <si>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</si>
  <si>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</si>
  <si>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</si>
  <si>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</si>
  <si>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</si>
  <si>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</si>
  <si>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</si>
  <si>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</si>
  <si>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</si>
  <si>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</si>
  <si>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</si>
  <si>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</si>
  <si>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</si>
  <si>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</si>
  <si>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</si>
  <si>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</si>
  <si>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</si>
  <si>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</si>
  <si>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</si>
  <si>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</si>
  <si>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</si>
  <si>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</si>
  <si>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</si>
  <si>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</si>
  <si>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</si>
  <si>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</si>
  <si>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</si>
  <si>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</si>
  <si>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</si>
  <si>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</si>
  <si>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</si>
  <si>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</si>
  <si>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</si>
  <si>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</si>
  <si>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</si>
  <si>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</si>
  <si>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</si>
  <si>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</si>
  <si>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</si>
  <si>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</si>
  <si>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</si>
  <si>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</si>
  <si>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</si>
  <si>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</si>
  <si>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</si>
  <si>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</si>
  <si>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</si>
  <si>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</si>
  <si>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</si>
  <si>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</si>
  <si>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</si>
  <si>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</si>
  <si>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</si>
  <si>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</si>
  <si>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</si>
  <si>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</si>
  <si>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</si>
  <si>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</si>
  <si>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</si>
  <si>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</si>
  <si>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</si>
  <si>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</si>
  <si>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</si>
  <si>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</si>
  <si>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</si>
  <si>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</si>
  <si>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</si>
  <si>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</si>
  <si>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</si>
  <si>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</si>
  <si>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</si>
  <si>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</si>
  <si>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</si>
  <si>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</si>
  <si>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</si>
  <si>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</si>
  <si>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</si>
  <si>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</si>
  <si>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</si>
  <si>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</si>
  <si>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</si>
  <si>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</si>
  <si>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</si>
  <si>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</si>
  <si>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</si>
  <si>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</si>
  <si>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</si>
  <si>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</si>
  <si>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</si>
  <si>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</si>
  <si>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</si>
  <si>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</si>
  <si>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</si>
  <si>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</si>
  <si>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</si>
  <si>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</si>
  <si>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</si>
  <si>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</si>
  <si>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</si>
  <si>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</si>
  <si>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</si>
  <si>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</si>
  <si>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</si>
  <si>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</si>
  <si>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</si>
  <si>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</si>
  <si>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</si>
  <si>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</si>
  <si>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</si>
  <si>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</si>
  <si>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</si>
  <si>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</si>
  <si>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</si>
  <si>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</si>
  <si>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</si>
  <si>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</si>
  <si>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</si>
  <si>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</si>
  <si>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</si>
  <si>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</si>
  <si>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</si>
  <si>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</si>
  <si>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</si>
  <si>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</si>
  <si>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</si>
  <si>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</si>
  <si>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</si>
  <si>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</si>
  <si>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</si>
  <si>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</si>
  <si>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</si>
  <si>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</si>
  <si>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</si>
  <si>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</si>
  <si>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</si>
  <si>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</si>
  <si>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</si>
  <si>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</si>
  <si>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</si>
  <si>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</si>
  <si>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</si>
  <si>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</si>
  <si>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</si>
  <si>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</si>
  <si>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</si>
  <si>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</si>
  <si>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</si>
  <si>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</si>
  <si>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</si>
  <si>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</si>
  <si>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</si>
  <si>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</si>
  <si>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</si>
  <si>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</si>
  <si>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</si>
  <si>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</si>
  <si>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</si>
  <si>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</si>
  <si>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</si>
  <si>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</si>
  <si>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</si>
  <si>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</si>
  <si>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</si>
  <si>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</si>
  <si>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</si>
  <si>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</si>
  <si>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</si>
  <si>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</si>
  <si>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</si>
  <si>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</si>
  <si>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</si>
  <si>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</si>
  <si>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</si>
  <si>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</si>
  <si>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</si>
  <si>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</si>
  <si>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</si>
  <si>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</si>
  <si>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</si>
  <si>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</si>
  <si>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</si>
  <si>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</si>
  <si>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</si>
  <si>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</si>
  <si>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</si>
  <si>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</si>
  <si>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</si>
  <si>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</si>
  <si>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</si>
  <si>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</si>
  <si>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</si>
  <si>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</si>
  <si>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</si>
  <si>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</si>
  <si>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</si>
  <si>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</si>
  <si>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</si>
  <si>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</si>
  <si>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</si>
  <si>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</si>
  <si>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</si>
  <si>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</si>
  <si>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</si>
  <si>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</si>
  <si>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</si>
  <si>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</si>
  <si>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</si>
  <si>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</si>
  <si>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</si>
  <si>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</si>
  <si>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</si>
  <si>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</si>
  <si>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</si>
  <si>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</si>
  <si>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</si>
  <si>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</si>
  <si>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</si>
  <si>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</si>
  <si>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</si>
  <si>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</si>
  <si>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</si>
  <si>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</si>
  <si>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</si>
  <si>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</si>
  <si>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</si>
  <si>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</si>
  <si>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</si>
  <si>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</si>
  <si>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</si>
  <si>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</si>
  <si>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</si>
  <si>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</si>
  <si>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</si>
  <si>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</si>
  <si>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</si>
  <si>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</si>
  <si>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</si>
  <si>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</si>
  <si>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</si>
  <si>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</si>
  <si>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</si>
  <si>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</si>
  <si>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</si>
  <si>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</si>
  <si>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</si>
  <si>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</si>
  <si>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</si>
  <si>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</si>
  <si>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</si>
  <si>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</si>
  <si>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</si>
  <si>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</si>
  <si>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</si>
  <si>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</si>
  <si>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</si>
  <si>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</si>
  <si>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</si>
  <si>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</si>
  <si>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</si>
  <si>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</si>
  <si>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</si>
  <si>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</si>
  <si>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</si>
  <si>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</si>
  <si>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</si>
  <si>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</si>
  <si>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</si>
  <si>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</si>
  <si>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</si>
  <si>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</si>
  <si>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</si>
  <si>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</si>
  <si>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</si>
  <si>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</si>
  <si>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</si>
  <si>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</si>
  <si>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</si>
  <si>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</si>
  <si>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</si>
  <si>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</si>
  <si>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</si>
  <si>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</si>
  <si>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</si>
  <si>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</si>
  <si>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</si>
  <si>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</si>
  <si>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</si>
  <si>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</si>
  <si>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</si>
  <si>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</si>
  <si>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</si>
  <si>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</si>
  <si>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</si>
  <si>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</si>
  <si>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</si>
  <si>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</si>
  <si>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</si>
  <si>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</si>
  <si>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</si>
  <si>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</si>
  <si>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</si>
  <si>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</si>
  <si>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</si>
  <si>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</si>
  <si>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</si>
  <si>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</si>
  <si>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</si>
  <si>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</si>
  <si>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</si>
  <si>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</si>
  <si>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</si>
  <si>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</si>
  <si>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</si>
  <si>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</si>
  <si>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</si>
  <si>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</si>
  <si>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</si>
  <si>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</si>
  <si>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</si>
  <si>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</si>
  <si>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</si>
  <si>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</si>
  <si>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</si>
  <si>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</si>
  <si>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</si>
  <si>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</si>
  <si>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</si>
  <si>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</si>
  <si>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</si>
  <si>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</si>
  <si>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</si>
  <si>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</si>
  <si>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</si>
  <si>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</si>
  <si>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</si>
  <si>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</si>
  <si>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</si>
  <si>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</si>
  <si>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</si>
  <si>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</si>
  <si>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</si>
  <si>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</si>
  <si>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</si>
  <si>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</si>
  <si>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</si>
  <si>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</si>
  <si>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</si>
  <si>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</si>
  <si>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</si>
  <si>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</si>
  <si>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</si>
  <si>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</si>
  <si>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</si>
  <si>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</si>
  <si>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</si>
  <si>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</si>
  <si>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</si>
  <si>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</si>
  <si>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</si>
  <si>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</si>
  <si>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</si>
  <si>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</si>
  <si>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</si>
  <si>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</si>
  <si>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</si>
  <si>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</si>
  <si>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</si>
  <si>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</si>
  <si>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</si>
  <si>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</si>
  <si>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</si>
  <si>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</si>
  <si>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</si>
  <si>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</si>
  <si>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</si>
  <si>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</si>
  <si>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</si>
  <si>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</si>
  <si>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</si>
  <si>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</si>
  <si>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</si>
  <si>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</si>
  <si>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</si>
  <si>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</si>
  <si>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</si>
  <si>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</si>
  <si>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</si>
  <si>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</si>
  <si>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</si>
  <si>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</si>
  <si>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</si>
  <si>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</si>
  <si>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</si>
  <si>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</si>
  <si>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</si>
  <si>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</si>
  <si>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</si>
  <si>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</si>
  <si>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</si>
  <si>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</si>
  <si>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</si>
  <si>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</si>
  <si>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</si>
  <si>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</si>
  <si>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</si>
  <si>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</si>
  <si>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</si>
  <si>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</si>
  <si>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</si>
  <si>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</si>
  <si>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</si>
  <si>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</si>
  <si>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</si>
  <si>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</si>
  <si>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</si>
  <si>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</si>
  <si>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</si>
  <si>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</si>
  <si>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</si>
  <si>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</si>
  <si>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</si>
  <si>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</si>
  <si>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</si>
  <si>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</si>
  <si>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</si>
  <si>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</si>
  <si>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</si>
  <si>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</si>
  <si>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</si>
  <si>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</si>
  <si>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</si>
  <si>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</si>
  <si>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</si>
  <si>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</si>
  <si>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</si>
  <si>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</si>
  <si>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</si>
  <si>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</si>
  <si>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</si>
  <si>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</si>
  <si>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</si>
  <si>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</si>
  <si>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</si>
  <si>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</si>
  <si>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</si>
  <si>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</si>
  <si>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</si>
  <si>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</si>
  <si>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</si>
  <si>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</si>
  <si>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</si>
  <si>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</si>
  <si>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</si>
  <si>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</si>
  <si>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</si>
  <si>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</si>
  <si>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</si>
  <si>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</si>
  <si>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</si>
  <si>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</si>
  <si>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</si>
  <si>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</si>
  <si>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</si>
  <si>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</si>
  <si>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</si>
  <si>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</si>
  <si>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</si>
  <si>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</si>
  <si>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</si>
  <si>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</si>
  <si>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</si>
  <si>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</si>
  <si>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</si>
  <si>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</si>
  <si>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</si>
  <si>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</si>
  <si>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</si>
  <si>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</si>
  <si>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</si>
  <si>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</si>
  <si>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</si>
  <si>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</si>
  <si>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</si>
  <si>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</si>
  <si>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</si>
  <si>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</si>
  <si>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</si>
  <si>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</si>
  <si>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</si>
  <si>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</si>
  <si>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</si>
  <si>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</si>
  <si>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</si>
  <si>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</si>
  <si>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</si>
  <si>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</si>
  <si>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</si>
  <si>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</si>
  <si>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</si>
  <si>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</si>
  <si>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</si>
  <si>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</si>
  <si>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</si>
  <si>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</si>
  <si>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</si>
  <si>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</si>
  <si>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</si>
  <si>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</si>
  <si>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</si>
  <si>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</si>
  <si>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</si>
  <si>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</si>
  <si>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</si>
  <si>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</si>
  <si>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</si>
  <si>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</si>
  <si>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</si>
  <si>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</si>
  <si>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</si>
  <si>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</si>
  <si>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</si>
  <si>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</si>
  <si>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</si>
  <si>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</si>
  <si>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</si>
  <si>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</si>
  <si>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</si>
  <si>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</si>
  <si>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</si>
  <si>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</si>
  <si>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</si>
  <si>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</si>
  <si>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</si>
  <si>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</si>
  <si>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</si>
  <si>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</si>
  <si>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</si>
  <si>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</si>
  <si>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</si>
  <si>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</si>
  <si>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</si>
  <si>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</si>
  <si>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</si>
  <si>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</si>
  <si>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</si>
  <si>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</si>
  <si>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</si>
  <si>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</si>
  <si>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</si>
  <si>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</si>
  <si>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</si>
  <si>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</si>
  <si>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</si>
  <si>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</si>
  <si>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</si>
  <si>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</si>
  <si>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</si>
  <si>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</si>
  <si>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</si>
  <si>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</si>
  <si>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</si>
  <si>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</si>
  <si>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</si>
  <si>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</si>
  <si>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</si>
  <si>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</si>
  <si>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</si>
  <si>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</si>
  <si>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</si>
  <si>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</si>
  <si>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</si>
  <si>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</si>
  <si>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</si>
  <si>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</si>
  <si>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</si>
  <si>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</si>
  <si>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</si>
  <si>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</si>
  <si>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</si>
  <si>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</si>
  <si>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</si>
  <si>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</si>
  <si>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</si>
  <si>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</si>
  <si>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</si>
  <si>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</si>
  <si>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</si>
  <si>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</si>
  <si>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</si>
  <si>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</si>
  <si>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</si>
  <si>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</si>
  <si>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</si>
  <si>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</si>
  <si>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</si>
  <si>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</si>
  <si>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</si>
  <si>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</si>
  <si>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</si>
  <si>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</si>
  <si>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</si>
  <si>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</si>
  <si>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</si>
  <si>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</si>
  <si>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</si>
  <si>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</si>
  <si>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</si>
  <si>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</si>
  <si>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</si>
  <si>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</si>
  <si>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</si>
  <si>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</si>
  <si>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</si>
  <si>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</si>
  <si>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</si>
  <si>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</si>
  <si>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</si>
  <si>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</si>
  <si>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</si>
  <si>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</si>
  <si>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</si>
  <si>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</si>
  <si>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</si>
  <si>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</si>
  <si>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</si>
  <si>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</si>
  <si>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</si>
  <si>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</si>
  <si>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</si>
  <si>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</si>
  <si>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</si>
  <si>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</si>
  <si>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</si>
  <si>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</si>
  <si>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</si>
  <si>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</si>
  <si>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</si>
  <si>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</si>
  <si>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</si>
  <si>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</si>
  <si>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</si>
  <si>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</si>
  <si>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</si>
  <si>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</si>
  <si>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</si>
  <si>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</si>
  <si>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</si>
  <si>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</si>
  <si>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</si>
  <si>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</si>
  <si>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</si>
  <si>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</si>
  <si>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</si>
  <si>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</si>
  <si>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</si>
  <si>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</si>
  <si>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</si>
  <si>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</si>
  <si>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</si>
  <si>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</si>
  <si>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</si>
  <si>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</si>
  <si>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</si>
  <si>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</si>
  <si>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</si>
  <si>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</si>
  <si>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</si>
  <si>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</si>
  <si>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</si>
  <si>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</si>
  <si>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</si>
  <si>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</si>
  <si>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</si>
  <si>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</si>
  <si>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</si>
  <si>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</si>
  <si>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</si>
  <si>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</si>
  <si>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</si>
  <si>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</si>
  <si>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</si>
  <si>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</si>
  <si>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</si>
  <si>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</si>
  <si>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</si>
  <si>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</si>
  <si>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</si>
  <si>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</si>
  <si>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</si>
  <si>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</si>
  <si>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</si>
  <si>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</si>
  <si>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</si>
  <si>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</si>
  <si>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</si>
  <si>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</si>
  <si>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</si>
  <si>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</si>
  <si>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</si>
  <si>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</si>
  <si>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</si>
  <si>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</si>
  <si>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</si>
  <si>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</si>
  <si>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</si>
  <si>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</si>
  <si>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</si>
  <si>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</si>
  <si>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</si>
  <si>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</si>
  <si>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</si>
  <si>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</si>
  <si>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</si>
  <si>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</si>
  <si>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</si>
  <si>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</si>
  <si>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</si>
  <si>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</si>
  <si>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</si>
  <si>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</si>
  <si>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</si>
  <si>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</si>
  <si>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</si>
  <si>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</si>
  <si>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</si>
  <si>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</si>
  <si>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</si>
  <si>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</si>
  <si>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</si>
  <si>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</si>
  <si>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</si>
  <si>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</si>
  <si>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</si>
  <si>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</si>
  <si>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</si>
  <si>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</si>
  <si>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</si>
  <si>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</si>
  <si>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</si>
  <si>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</si>
  <si>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</si>
  <si>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</si>
  <si>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</si>
  <si>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</si>
  <si>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</si>
  <si>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</si>
  <si>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</si>
  <si>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</si>
  <si>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</si>
  <si>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</si>
  <si>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</si>
  <si>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</si>
  <si>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</si>
  <si>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</si>
  <si>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</si>
  <si>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</si>
  <si>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</si>
  <si>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</si>
  <si>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</si>
  <si>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</si>
  <si>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</si>
  <si>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</si>
  <si>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</si>
  <si>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</si>
  <si>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</si>
  <si>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</si>
  <si>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</si>
  <si>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</si>
  <si>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</si>
  <si>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</si>
  <si>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</si>
  <si>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</si>
  <si>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</si>
  <si>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</si>
  <si>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</si>
  <si>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</si>
  <si>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</si>
  <si>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</si>
  <si>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</si>
  <si>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</si>
  <si>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</si>
  <si>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</si>
  <si>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</si>
  <si>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</si>
  <si>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</si>
  <si>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</si>
  <si>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</si>
  <si>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</si>
  <si>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</si>
  <si>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</si>
  <si>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</si>
  <si>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</si>
  <si>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</si>
  <si>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</si>
  <si>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</si>
  <si>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</si>
  <si>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</si>
  <si>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</si>
  <si>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</si>
  <si>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</si>
  <si>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</si>
  <si>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</si>
  <si>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</si>
  <si>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</si>
  <si>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</si>
  <si>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</si>
  <si>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</si>
  <si>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</si>
  <si>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</si>
  <si>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</si>
  <si>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</si>
  <si>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</si>
  <si>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</si>
  <si>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</si>
  <si>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</si>
  <si>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</si>
  <si>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</si>
  <si>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</si>
  <si>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</si>
  <si>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</si>
  <si>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</si>
  <si>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</si>
  <si>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</si>
  <si>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</si>
  <si>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</si>
  <si>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</si>
  <si>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</si>
  <si>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</si>
  <si>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</si>
  <si>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</si>
  <si>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</si>
  <si>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</si>
  <si>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</si>
  <si>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</si>
  <si>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</si>
  <si>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</si>
  <si>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</si>
  <si>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</si>
  <si>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</si>
  <si>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</si>
  <si>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</si>
  <si>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</si>
  <si>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</si>
  <si>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</si>
  <si>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</si>
  <si>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</si>
  <si>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</si>
  <si>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</si>
  <si>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</si>
  <si>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</si>
  <si>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</si>
  <si>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</si>
  <si>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</si>
  <si>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</si>
  <si>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</si>
  <si>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</si>
  <si>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</si>
  <si>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</si>
  <si>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</si>
  <si>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</si>
  <si>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</si>
  <si>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</si>
  <si>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</si>
  <si>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</si>
  <si>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</si>
  <si>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</si>
  <si>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</si>
  <si>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</si>
  <si>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</si>
  <si>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</si>
  <si>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</si>
  <si>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</si>
  <si>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</si>
  <si>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</si>
  <si>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</si>
  <si>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</si>
  <si>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</si>
  <si>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</si>
  <si>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</si>
  <si>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</si>
  <si>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</si>
  <si>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</si>
  <si>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</si>
  <si>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</si>
  <si>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</si>
  <si>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</si>
  <si>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</si>
  <si>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</si>
  <si>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</si>
  <si>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</si>
  <si>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</si>
  <si>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</si>
  <si>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</si>
  <si>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</si>
  <si>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</si>
  <si>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</si>
  <si>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</si>
  <si>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</si>
  <si>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</si>
  <si>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</si>
  <si>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</si>
  <si>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</si>
  <si>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</si>
  <si>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</si>
  <si>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</si>
  <si>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</si>
  <si>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</si>
  <si>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</si>
  <si>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</si>
  <si>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</si>
  <si>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</si>
  <si>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</si>
  <si>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</si>
  <si>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</si>
  <si>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</si>
  <si>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</si>
  <si>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</si>
  <si>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</si>
  <si>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</si>
  <si>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</si>
  <si>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</si>
  <si>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</si>
  <si>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</si>
  <si>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</si>
  <si>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</si>
  <si>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</si>
  <si>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</si>
  <si>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</si>
  <si>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</si>
  <si>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</si>
  <si>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</si>
  <si>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</si>
  <si>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</si>
  <si>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</si>
  <si>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</si>
  <si>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</si>
  <si>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</si>
  <si>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</si>
  <si>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</si>
  <si>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</si>
  <si>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</si>
  <si>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</si>
  <si>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</si>
  <si>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</si>
  <si>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</si>
  <si>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</si>
  <si>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</si>
  <si>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</si>
  <si>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</si>
  <si>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</si>
  <si>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</si>
  <si>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</si>
  <si>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</si>
  <si>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</si>
  <si>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</si>
  <si>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</si>
  <si>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</si>
  <si>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</si>
  <si>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</si>
  <si>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</si>
  <si>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</si>
  <si>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</si>
  <si>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</si>
  <si>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</si>
  <si>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</si>
  <si>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</si>
  <si>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</si>
  <si>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</si>
  <si>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</si>
  <si>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</si>
  <si>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</si>
  <si>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</si>
  <si>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</si>
  <si>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</si>
  <si>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</si>
  <si>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</si>
  <si>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</si>
  <si>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</si>
  <si>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</si>
  <si>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</si>
  <si>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</si>
  <si>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</si>
  <si>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</si>
  <si>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</si>
  <si>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</si>
  <si>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</si>
  <si>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</si>
  <si>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</si>
  <si>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</si>
  <si>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</si>
  <si>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</si>
  <si>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</si>
  <si>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</si>
  <si>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</si>
  <si>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</si>
  <si>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</si>
  <si>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</si>
  <si>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</si>
  <si>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</si>
  <si>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</si>
  <si>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</si>
  <si>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</si>
  <si>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</si>
  <si>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</si>
  <si>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</si>
  <si>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</si>
  <si>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</si>
  <si>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</si>
  <si>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</si>
  <si>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</si>
  <si>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</si>
  <si>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</si>
  <si>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</si>
  <si>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</si>
  <si>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</si>
  <si>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</si>
  <si>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</si>
  <si>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</si>
  <si>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</si>
  <si>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</si>
  <si>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</si>
  <si>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</si>
  <si>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</si>
  <si>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</si>
  <si>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</si>
  <si>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</si>
  <si>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</si>
  <si>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</si>
  <si>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</si>
  <si>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</si>
  <si>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</si>
  <si>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</si>
  <si>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</si>
  <si>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</si>
  <si>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</si>
  <si>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</si>
  <si>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</si>
  <si>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</si>
  <si>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</si>
  <si>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</si>
  <si>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</si>
  <si>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</si>
  <si>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</si>
  <si>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</si>
  <si>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</si>
  <si>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</si>
  <si>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</si>
  <si>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</si>
  <si>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</si>
  <si>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</si>
  <si>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</si>
  <si>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</si>
  <si>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</si>
  <si>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</si>
  <si>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</si>
  <si>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</si>
  <si>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</si>
  <si>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</si>
  <si>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</si>
  <si>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</si>
  <si>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</si>
  <si>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</si>
  <si>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</si>
  <si>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</si>
  <si>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</si>
  <si>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</si>
  <si>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</si>
  <si>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</si>
  <si>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</si>
  <si>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</si>
  <si>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</si>
  <si>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</si>
  <si>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</si>
  <si>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</si>
  <si>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</si>
  <si>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</si>
  <si>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</si>
  <si>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</si>
  <si>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</si>
  <si>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</si>
  <si>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</si>
  <si>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</si>
  <si>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</si>
  <si>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</si>
  <si>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</si>
  <si>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</si>
  <si>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</si>
  <si>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</si>
  <si>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</si>
  <si>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</si>
  <si>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</si>
  <si>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</si>
  <si>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</si>
  <si>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</si>
  <si>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</si>
  <si>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</si>
  <si>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</si>
  <si>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</si>
  <si>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</si>
  <si>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</si>
  <si>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</si>
  <si>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</si>
  <si>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</si>
  <si>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</si>
  <si>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</si>
  <si>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</si>
  <si>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</si>
  <si>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</si>
  <si>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</si>
  <si>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</si>
  <si>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</si>
  <si>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</si>
  <si>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</si>
  <si>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</si>
  <si>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</si>
  <si>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</si>
  <si>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</si>
  <si>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</si>
  <si>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</si>
  <si>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</si>
  <si>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</si>
  <si>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</si>
  <si>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</si>
  <si>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</si>
  <si>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</si>
  <si>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</si>
  <si>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</si>
  <si>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</si>
  <si>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</si>
  <si>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</si>
  <si>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</si>
  <si>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</si>
  <si>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</si>
  <si>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</si>
  <si>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</si>
  <si>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</si>
  <si>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</si>
  <si>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</si>
  <si>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</si>
  <si>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</si>
  <si>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</si>
  <si>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</si>
  <si>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</si>
  <si>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</si>
  <si>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</si>
  <si>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</si>
  <si>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</si>
  <si>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</si>
  <si>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</si>
  <si>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</si>
  <si>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</si>
  <si>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</si>
  <si>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</si>
  <si>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</si>
  <si>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</si>
  <si>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</si>
  <si>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</si>
  <si>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</si>
  <si>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</si>
  <si>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</si>
  <si>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</si>
  <si>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</si>
  <si>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</si>
  <si>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</si>
  <si>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</si>
  <si>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</si>
  <si>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</si>
  <si>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</si>
  <si>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</si>
  <si>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</si>
  <si>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</si>
  <si>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</si>
  <si>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</si>
  <si>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</si>
  <si>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</si>
  <si>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</si>
  <si>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</si>
  <si>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</si>
  <si>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</si>
  <si>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</si>
  <si>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</si>
  <si>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</si>
  <si>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</si>
  <si>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</si>
  <si>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</si>
  <si>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</si>
  <si>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</si>
  <si>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</si>
  <si>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</si>
  <si>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</si>
  <si>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</si>
  <si>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</si>
  <si>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</si>
  <si>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</si>
  <si>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</si>
  <si>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</si>
  <si>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</si>
  <si>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</si>
  <si>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</si>
  <si>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</si>
  <si>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</si>
  <si>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</si>
  <si>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</si>
  <si>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</si>
  <si>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</si>
  <si>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</si>
  <si>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</si>
  <si>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</si>
  <si>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</si>
  <si>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</si>
  <si>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</si>
  <si>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</si>
  <si>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</si>
  <si>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</si>
  <si>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</si>
  <si>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</si>
  <si>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</si>
  <si>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</si>
  <si>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</si>
  <si>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</si>
  <si>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</si>
  <si>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</si>
  <si>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</si>
  <si>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</si>
  <si>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</si>
  <si>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</si>
  <si>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</si>
  <si>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</si>
  <si>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</si>
  <si>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</si>
  <si>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</si>
  <si>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</si>
  <si>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</si>
  <si>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</si>
  <si>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</si>
  <si>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</si>
  <si>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</si>
  <si>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</si>
  <si>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</si>
  <si>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</si>
  <si>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</si>
  <si>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</si>
  <si>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</si>
  <si>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</si>
  <si>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</si>
  <si>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</si>
  <si>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</si>
  <si>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</si>
  <si>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</si>
  <si>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</si>
  <si>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</si>
  <si>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</si>
  <si>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</si>
  <si>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</si>
  <si>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</si>
  <si>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</si>
  <si>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</si>
  <si>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</si>
  <si>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</si>
  <si>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</si>
  <si>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</si>
  <si>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</si>
  <si>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</si>
  <si>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</si>
  <si>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</si>
  <si>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</si>
  <si>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</si>
  <si>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</si>
  <si>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</si>
  <si>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</si>
  <si>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</si>
  <si>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</si>
  <si>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</si>
  <si>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</si>
  <si>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</si>
  <si>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</si>
  <si>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</si>
  <si>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</si>
  <si>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</si>
  <si>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</si>
  <si>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</si>
  <si>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</si>
  <si>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</si>
  <si>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</si>
  <si>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</si>
  <si>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</si>
  <si>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</si>
  <si>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</si>
  <si>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</si>
  <si>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</si>
  <si>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</si>
  <si>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</si>
  <si>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</si>
  <si>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</si>
  <si>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</si>
  <si>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</si>
  <si>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</si>
  <si>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</si>
  <si>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</si>
  <si>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</si>
  <si>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</si>
  <si>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</si>
  <si>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</si>
  <si>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</si>
  <si>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</si>
  <si>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</si>
  <si>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</si>
  <si>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</si>
  <si>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</si>
  <si>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</si>
  <si>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</si>
  <si>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</si>
  <si>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</si>
  <si>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</si>
  <si>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</si>
  <si>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</si>
  <si>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</si>
  <si>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</si>
  <si>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</si>
  <si>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</si>
  <si>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</si>
  <si>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</si>
  <si>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</si>
  <si>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</si>
  <si>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</si>
  <si>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</si>
  <si>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</si>
  <si>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</si>
  <si>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</si>
  <si>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</si>
  <si>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</si>
  <si>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</si>
  <si>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</si>
  <si>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</si>
  <si>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</si>
  <si>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</si>
  <si>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</si>
  <si>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</si>
  <si>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</si>
  <si>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</si>
  <si>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</si>
  <si>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</si>
  <si>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</si>
  <si>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</si>
  <si>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</si>
  <si>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</si>
  <si>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</si>
  <si>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</si>
  <si>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</si>
  <si>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</si>
  <si>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</si>
  <si>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</si>
  <si>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</si>
  <si>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</si>
  <si>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</si>
  <si>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</si>
  <si>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</si>
  <si>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</si>
  <si>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</si>
  <si>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</si>
  <si>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</si>
  <si>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</si>
  <si>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</si>
  <si>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</si>
  <si>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</si>
  <si>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</si>
  <si>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</si>
  <si>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</si>
  <si>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</si>
  <si>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</si>
  <si>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</si>
  <si>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</si>
  <si>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</si>
  <si>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</si>
  <si>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</si>
  <si>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</si>
  <si>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</si>
  <si>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</si>
  <si>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</si>
  <si>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</si>
  <si>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</si>
  <si>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</si>
  <si>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</si>
  <si>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</si>
  <si>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</si>
  <si>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</si>
  <si>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</si>
  <si>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</si>
  <si>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</si>
  <si>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</si>
  <si>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</si>
  <si>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</si>
  <si>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</si>
  <si>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</si>
  <si>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</si>
  <si>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</si>
  <si>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</si>
  <si>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</si>
  <si>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</si>
  <si>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</si>
  <si>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</si>
  <si>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</si>
  <si>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</si>
  <si>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</si>
  <si>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</si>
  <si>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</si>
  <si>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</si>
  <si>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</si>
  <si>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</si>
  <si>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</si>
  <si>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</si>
  <si>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</si>
  <si>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</si>
  <si>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</si>
  <si>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</si>
  <si>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</si>
  <si>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</si>
  <si>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</si>
  <si>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</si>
  <si>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</si>
  <si>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</si>
  <si>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</si>
  <si>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</si>
  <si>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</si>
  <si>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</si>
  <si>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</si>
  <si>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</si>
  <si>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</si>
  <si>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</si>
  <si>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</si>
  <si>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</si>
  <si>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</si>
  <si>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</si>
  <si>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</si>
  <si>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</si>
  <si>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</si>
  <si>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</si>
  <si>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</si>
  <si>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</si>
  <si>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</si>
  <si>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</si>
  <si>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</si>
  <si>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</si>
  <si>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</si>
  <si>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</si>
  <si>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</si>
  <si>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</si>
  <si>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</si>
  <si>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</si>
  <si>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</si>
  <si>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</si>
  <si>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</si>
  <si>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</si>
  <si>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</si>
  <si>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</si>
  <si>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</si>
  <si>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</si>
  <si>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</si>
  <si>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</si>
  <si>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</si>
  <si>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</si>
  <si>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</si>
  <si>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</si>
  <si>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</si>
  <si>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</si>
  <si>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</si>
  <si>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</si>
  <si>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</si>
  <si>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</si>
  <si>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</si>
  <si>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</si>
  <si>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</si>
  <si>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</si>
  <si>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</si>
  <si>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</si>
  <si>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</si>
  <si>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</si>
  <si>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</si>
  <si>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</si>
  <si>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</si>
  <si>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</si>
  <si>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</si>
  <si>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</si>
  <si>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</si>
  <si>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</si>
  <si>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</si>
  <si>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</si>
  <si>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</si>
  <si>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</si>
  <si>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</si>
  <si>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</si>
  <si>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</si>
  <si>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</si>
  <si>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</si>
  <si>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</si>
  <si>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</si>
  <si>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</si>
  <si>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</si>
  <si>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</si>
  <si>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</si>
  <si>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</si>
  <si>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</si>
  <si>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</si>
  <si>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</si>
  <si>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</si>
  <si>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</si>
  <si>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</si>
  <si>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</si>
  <si>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</si>
  <si>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</si>
  <si>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</si>
  <si>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</si>
  <si>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</si>
  <si>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</si>
  <si>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</si>
  <si>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</si>
  <si>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</si>
  <si>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</si>
  <si>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</si>
  <si>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</si>
  <si>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</si>
  <si>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</si>
  <si>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</si>
  <si>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</si>
  <si>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</si>
  <si>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</si>
  <si>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</si>
  <si>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</si>
  <si>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</si>
  <si>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</si>
  <si>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</si>
  <si>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</si>
  <si>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</si>
  <si>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</si>
  <si>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</si>
  <si>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</si>
  <si>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</si>
  <si>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</si>
  <si>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</si>
  <si>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</si>
  <si>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</si>
  <si>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</si>
  <si>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</si>
  <si>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</si>
  <si>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</si>
  <si>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</si>
  <si>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</si>
  <si>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</si>
  <si>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</si>
  <si>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</si>
  <si>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</si>
  <si>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</si>
  <si>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</si>
  <si>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</si>
  <si>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</si>
  <si>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</si>
  <si>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</si>
  <si>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</si>
  <si>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</si>
  <si>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</si>
  <si>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</si>
  <si>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</si>
  <si>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</si>
  <si>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</si>
  <si>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</si>
  <si>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</si>
  <si>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</si>
  <si>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</si>
  <si>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</si>
  <si>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</si>
  <si>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</si>
  <si>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</si>
  <si>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</si>
  <si>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</si>
  <si>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</si>
  <si>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</si>
  <si>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</si>
  <si>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</si>
  <si>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</si>
  <si>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</si>
  <si>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</si>
  <si>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</si>
  <si>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</si>
  <si>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</si>
  <si>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</si>
  <si>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</si>
  <si>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</si>
  <si>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</si>
  <si>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</si>
  <si>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</si>
  <si>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</si>
  <si>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</si>
  <si>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</si>
  <si>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</si>
  <si>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</si>
  <si>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</si>
  <si>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</si>
  <si>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</si>
  <si>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</si>
  <si>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</si>
  <si>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</si>
  <si>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</si>
  <si>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</si>
  <si>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</si>
  <si>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</si>
  <si>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</si>
  <si>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</si>
  <si>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</si>
  <si>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</si>
  <si>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</si>
  <si>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</si>
  <si>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</si>
  <si>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</si>
  <si>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</si>
  <si>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</si>
  <si>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</si>
  <si>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</si>
  <si>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</si>
  <si>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</si>
  <si>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</si>
  <si>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</si>
  <si>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</si>
  <si>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</si>
  <si>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</si>
  <si>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</si>
  <si>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</si>
  <si>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</si>
  <si>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</si>
  <si>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</si>
  <si>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</si>
  <si>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</si>
  <si>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</si>
  <si>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</si>
  <si>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</si>
  <si>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</si>
  <si>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</si>
  <si>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</si>
  <si>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</si>
  <si>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</si>
  <si>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</si>
  <si>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</si>
  <si>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</si>
  <si>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</si>
  <si>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</si>
  <si>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</si>
  <si>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</si>
  <si>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</si>
  <si>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</si>
  <si>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</si>
  <si>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</si>
  <si>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</si>
  <si>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</si>
  <si>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</si>
  <si>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</si>
  <si>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</si>
  <si>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</si>
  <si>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</si>
  <si>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</si>
  <si>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</si>
  <si>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</si>
  <si>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</si>
  <si>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</si>
  <si>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</si>
  <si>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</si>
  <si>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</si>
  <si>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</si>
  <si>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</si>
  <si>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</si>
  <si>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</si>
  <si>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</si>
  <si>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</si>
  <si>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</si>
  <si>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</si>
  <si>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</si>
  <si>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</si>
  <si>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</si>
  <si>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</si>
  <si>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</si>
  <si>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</si>
  <si>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</si>
  <si>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</si>
  <si>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</si>
  <si>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</si>
  <si>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</si>
  <si>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</si>
  <si>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</si>
  <si>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</si>
  <si>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</si>
  <si>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</si>
  <si>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</si>
  <si>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</si>
  <si>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</si>
  <si>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</si>
  <si>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</si>
  <si>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</si>
  <si>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</si>
  <si>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</si>
  <si>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</si>
  <si>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</si>
  <si>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</si>
  <si>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</si>
  <si>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</si>
  <si>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</si>
  <si>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</si>
  <si>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</si>
  <si>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</si>
  <si>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</si>
  <si>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</si>
  <si>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</si>
  <si>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</si>
  <si>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</si>
  <si>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</si>
  <si>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</si>
  <si>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</si>
  <si>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</si>
  <si>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</si>
  <si>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</si>
  <si>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</si>
  <si>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</si>
  <si>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</si>
  <si>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</si>
  <si>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</si>
  <si>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</si>
  <si>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</si>
  <si>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</si>
  <si>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</si>
  <si>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</si>
  <si>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</si>
  <si>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</si>
  <si>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</si>
  <si>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</si>
  <si>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</si>
  <si>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</si>
  <si>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</si>
  <si>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</si>
  <si>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</si>
  <si>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</si>
  <si>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</si>
  <si>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</si>
  <si>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</si>
  <si>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</si>
  <si>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</si>
  <si>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</si>
  <si>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</si>
  <si>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</si>
  <si>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</si>
  <si>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</si>
  <si>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</si>
  <si>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</si>
  <si>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</si>
  <si>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</si>
  <si>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</si>
  <si>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</si>
  <si>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</si>
  <si>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</si>
  <si>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</si>
  <si>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</si>
  <si>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</si>
  <si>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</si>
  <si>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</si>
  <si>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</si>
  <si>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</si>
  <si>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</si>
  <si>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</si>
  <si>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</si>
  <si>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</si>
  <si>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</si>
  <si>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</si>
  <si>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</si>
  <si>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</si>
  <si>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</si>
  <si>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</si>
  <si>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</si>
  <si>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</si>
  <si>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</si>
  <si>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</si>
  <si>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</si>
  <si>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</si>
  <si>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</si>
  <si>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</si>
  <si>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</si>
  <si>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</si>
  <si>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</si>
  <si>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</si>
  <si>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</si>
  <si>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</si>
  <si>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</si>
  <si>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</si>
  <si>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</si>
  <si>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</si>
  <si>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</si>
  <si>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</si>
  <si>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</si>
  <si>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</si>
  <si>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</si>
  <si>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</si>
  <si>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</si>
  <si>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</si>
  <si>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</si>
  <si>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</si>
  <si>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</si>
  <si>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</si>
  <si>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</si>
  <si>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</si>
  <si>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</si>
  <si>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</si>
  <si>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</si>
  <si>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</si>
  <si>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</si>
  <si>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</si>
  <si>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</si>
  <si>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</si>
  <si>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</si>
  <si>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</si>
  <si>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</si>
  <si>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</si>
  <si>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</si>
  <si>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</si>
  <si>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</si>
  <si>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</si>
  <si>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</si>
  <si>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</si>
  <si>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</si>
  <si>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</si>
  <si>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</si>
  <si>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</si>
  <si>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</si>
  <si>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</si>
  <si>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</si>
  <si>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</si>
  <si>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</si>
  <si>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</si>
  <si>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</si>
  <si>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</si>
  <si>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</si>
  <si>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</si>
  <si>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</si>
  <si>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</si>
  <si>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</si>
  <si>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</si>
  <si>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</si>
  <si>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</si>
  <si>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</si>
  <si>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</si>
  <si>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</si>
  <si>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</si>
  <si>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</si>
  <si>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</si>
  <si>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</si>
  <si>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</si>
  <si>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</si>
  <si>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</si>
  <si>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</si>
  <si>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</si>
  <si>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</si>
  <si>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</si>
  <si>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</si>
  <si>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</si>
  <si>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</si>
  <si>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</si>
  <si>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</si>
  <si>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</si>
  <si>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</si>
  <si>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</si>
  <si>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</si>
  <si>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</si>
  <si>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</si>
  <si>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</si>
  <si>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</si>
  <si>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</si>
  <si>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</si>
  <si>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</si>
  <si>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</si>
  <si>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</si>
  <si>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</si>
  <si>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</si>
  <si>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</si>
  <si>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</si>
  <si>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</si>
  <si>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</si>
  <si>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</si>
  <si>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</si>
  <si>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</si>
  <si>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</si>
  <si>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</si>
  <si>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</si>
  <si>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</si>
  <si>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</si>
  <si>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</si>
  <si>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</si>
  <si>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</si>
  <si>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</si>
  <si>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</si>
  <si>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</si>
  <si>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</si>
  <si>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</si>
  <si>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</si>
  <si>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</si>
  <si>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</si>
  <si>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</si>
  <si>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</si>
  <si>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</si>
  <si>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</si>
  <si>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</si>
  <si>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</si>
  <si>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</si>
  <si>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</si>
  <si>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</si>
  <si>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</si>
  <si>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</si>
  <si>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</si>
  <si>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</si>
  <si>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</si>
  <si>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</si>
  <si>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</si>
  <si>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</si>
  <si>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</si>
  <si>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</si>
  <si>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</si>
  <si>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</si>
  <si>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</si>
  <si>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</si>
  <si>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</si>
  <si>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</si>
  <si>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</si>
  <si>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</si>
  <si>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</si>
  <si>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</si>
  <si>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</si>
  <si>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</si>
  <si>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</si>
  <si>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</si>
  <si>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</si>
  <si>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</si>
  <si>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</si>
  <si>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</si>
  <si>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</si>
  <si>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</si>
  <si>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</si>
  <si>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</si>
  <si>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</si>
  <si>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</si>
  <si>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</si>
  <si>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</si>
  <si>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</si>
  <si>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</si>
  <si>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</si>
  <si>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</si>
  <si>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</si>
  <si>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</si>
  <si>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</si>
  <si>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</si>
  <si>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</si>
  <si>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</si>
  <si>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</si>
  <si>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</si>
  <si>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</si>
  <si>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</si>
  <si>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</si>
  <si>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</si>
  <si>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</si>
  <si>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</si>
  <si>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</si>
  <si>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</si>
  <si>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</si>
  <si>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</si>
  <si>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</si>
  <si>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</si>
  <si>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</si>
  <si>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</si>
  <si>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</si>
  <si>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</si>
  <si>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</si>
  <si>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</si>
  <si>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</si>
  <si>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</si>
  <si>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</si>
  <si>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</si>
  <si>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</si>
  <si>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</si>
  <si>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</si>
  <si>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</si>
  <si>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</si>
  <si>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</si>
  <si>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</si>
  <si>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</si>
  <si>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</si>
  <si>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</si>
  <si>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</si>
  <si>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</si>
  <si>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</si>
  <si>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</si>
  <si>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</si>
  <si>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</si>
  <si>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</si>
  <si>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</si>
  <si>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</si>
  <si>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</si>
  <si>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</si>
  <si>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</si>
  <si>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</si>
  <si>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</si>
  <si>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</si>
  <si>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</si>
  <si>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</si>
  <si>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</si>
  <si>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</si>
  <si>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</si>
  <si>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</si>
  <si>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</si>
  <si>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</si>
  <si>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</si>
  <si>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</si>
  <si>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</si>
  <si>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</si>
  <si>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</si>
  <si>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</si>
  <si>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</si>
  <si>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</si>
  <si>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</si>
  <si>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</si>
  <si>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</si>
  <si>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</si>
  <si>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</si>
  <si>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</si>
  <si>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</si>
  <si>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</si>
  <si>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</si>
  <si>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</si>
  <si>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</si>
  <si>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</si>
  <si>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</si>
  <si>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</si>
  <si>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</si>
  <si>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</si>
  <si>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</si>
  <si>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</si>
  <si>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</si>
  <si>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</si>
  <si>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</si>
  <si>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</si>
  <si>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</si>
  <si>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</si>
  <si>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</si>
  <si>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</si>
  <si>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</si>
  <si>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</si>
  <si>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</si>
  <si>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</si>
  <si>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</si>
  <si>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</si>
  <si>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</si>
  <si>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</si>
  <si>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</si>
  <si>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</si>
  <si>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</si>
  <si>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</si>
  <si>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</si>
  <si>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</si>
  <si>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</si>
  <si>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</si>
  <si>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</si>
  <si>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</si>
  <si>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</si>
  <si>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</si>
  <si>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</si>
  <si>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</si>
  <si>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</si>
  <si>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</si>
  <si>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</si>
  <si>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</si>
  <si>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</si>
  <si>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</si>
  <si>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</si>
  <si>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</si>
  <si>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</si>
  <si>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</si>
  <si>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</si>
  <si>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</si>
  <si>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</si>
  <si>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</si>
  <si>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</si>
  <si>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</si>
  <si>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</si>
  <si>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</si>
  <si>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</si>
  <si>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</si>
  <si>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</si>
  <si>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</si>
  <si>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</si>
  <si>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</si>
  <si>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</si>
  <si>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</si>
  <si>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</si>
  <si>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</si>
  <si>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</si>
  <si>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</si>
  <si>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</si>
  <si>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</si>
  <si>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</si>
  <si>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</si>
  <si>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</si>
  <si>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</si>
  <si>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</si>
  <si>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</si>
  <si>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</si>
  <si>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</si>
  <si>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</si>
  <si>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</si>
  <si>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</si>
  <si>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</si>
  <si>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</si>
  <si>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</si>
  <si>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</si>
  <si>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</si>
  <si>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</si>
  <si>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</si>
  <si>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</si>
  <si>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</si>
  <si>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</si>
  <si>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</si>
  <si>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</si>
  <si>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</si>
  <si>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</si>
  <si>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</si>
  <si>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</si>
  <si>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</si>
  <si>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</si>
  <si>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</si>
  <si>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</si>
  <si>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</si>
  <si>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</si>
  <si>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</si>
  <si>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</si>
  <si>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</si>
  <si>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</si>
  <si>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</si>
  <si>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</si>
  <si>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</si>
  <si>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</si>
  <si>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</si>
  <si>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</si>
  <si>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</si>
  <si>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</si>
  <si>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</si>
  <si>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</si>
  <si>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</si>
  <si>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</si>
  <si>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</si>
  <si>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</si>
  <si>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</si>
  <si>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</si>
  <si>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</si>
  <si>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</si>
  <si>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</si>
  <si>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</si>
  <si>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</si>
  <si>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</si>
  <si>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</si>
  <si>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</si>
  <si>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</si>
  <si>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</si>
  <si>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</si>
  <si>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</si>
  <si>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</si>
  <si>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</si>
  <si>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</si>
  <si>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</si>
  <si>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</si>
  <si>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</si>
  <si>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</si>
  <si>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</si>
  <si>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</si>
  <si>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</si>
  <si>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</si>
  <si>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</si>
  <si>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</si>
  <si>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</si>
  <si>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</si>
  <si>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</si>
  <si>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</si>
  <si>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</si>
  <si>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</si>
  <si>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</si>
  <si>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</si>
  <si>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</si>
  <si>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</si>
  <si>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</si>
  <si>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</si>
  <si>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</si>
  <si>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</si>
  <si>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</si>
  <si>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</si>
  <si>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</si>
  <si>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</si>
  <si>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</si>
  <si>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</si>
  <si>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</si>
  <si>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</si>
  <si>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</si>
  <si>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</si>
  <si>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</si>
  <si>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</si>
  <si>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</si>
  <si>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</si>
  <si>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</si>
  <si>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</si>
  <si>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</si>
  <si>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</si>
  <si>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</si>
  <si>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</si>
  <si>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</si>
  <si>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</si>
  <si>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</si>
  <si>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</si>
  <si>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</si>
  <si>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</si>
  <si>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</si>
  <si>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</si>
  <si>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</si>
  <si>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</si>
  <si>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</si>
  <si>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</si>
  <si>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</si>
  <si>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</si>
  <si>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</si>
  <si>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</si>
  <si>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</si>
  <si>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</si>
  <si>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</si>
  <si>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</si>
  <si>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</si>
  <si>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</si>
  <si>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</si>
  <si>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</si>
  <si>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</si>
  <si>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</si>
  <si>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</si>
  <si>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</si>
  <si>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</si>
  <si>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</si>
  <si>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</si>
  <si>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</si>
  <si>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</si>
  <si>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</si>
  <si>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</si>
  <si>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</si>
  <si>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</si>
  <si>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</si>
  <si>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</si>
  <si>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</si>
  <si>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</si>
  <si>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</si>
  <si>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</si>
  <si>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</si>
  <si>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</si>
  <si>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</si>
  <si>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</si>
  <si>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</si>
  <si>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</si>
  <si>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</si>
  <si>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</si>
  <si>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</si>
  <si>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</si>
  <si>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</si>
  <si>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</si>
  <si>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</si>
  <si>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</si>
  <si>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</si>
  <si>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</si>
  <si>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</si>
  <si>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</si>
  <si>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</si>
  <si>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</si>
  <si>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</si>
  <si>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</si>
  <si>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</si>
  <si>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</si>
  <si>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</si>
  <si>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</si>
  <si>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</si>
  <si>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</si>
  <si>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</si>
  <si>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</si>
  <si>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</si>
  <si>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</si>
  <si>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</si>
  <si>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</si>
  <si>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</si>
  <si>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</si>
  <si>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</si>
  <si>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</si>
  <si>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</si>
  <si>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</si>
  <si>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</si>
  <si>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</si>
  <si>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</si>
  <si>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</si>
  <si>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</si>
  <si>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</si>
  <si>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</si>
  <si>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</si>
  <si>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</si>
  <si>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</si>
  <si>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</si>
  <si>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</si>
  <si>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</si>
  <si>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</si>
  <si>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</si>
  <si>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</si>
  <si>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</si>
  <si>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</si>
  <si>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</si>
  <si>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</si>
  <si>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</si>
  <si>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</si>
  <si>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</si>
  <si>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</si>
  <si>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</si>
  <si>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</si>
  <si>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</si>
  <si>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</si>
  <si>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</si>
  <si>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</si>
  <si>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</si>
  <si>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</si>
  <si>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</si>
  <si>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</si>
  <si>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</si>
  <si>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</si>
  <si>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</si>
  <si>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</si>
  <si>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</si>
  <si>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</si>
  <si>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</si>
  <si>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</si>
  <si>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</si>
  <si>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</si>
  <si>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</si>
  <si>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</si>
  <si>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</si>
  <si>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</si>
  <si>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</si>
  <si>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</si>
  <si>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</si>
  <si>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</si>
  <si>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</si>
  <si>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</si>
  <si>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</si>
  <si>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</si>
  <si>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</si>
  <si>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</si>
  <si>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</si>
  <si>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</si>
  <si>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</si>
  <si>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</si>
  <si>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</si>
  <si>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</si>
  <si>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</si>
  <si>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</si>
  <si>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</si>
  <si>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</si>
  <si>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</si>
  <si>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</si>
  <si>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</si>
  <si>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</si>
  <si>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</si>
  <si>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</si>
  <si>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</si>
  <si>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</si>
  <si>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</si>
  <si>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</si>
  <si>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</si>
  <si>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</si>
  <si>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</si>
  <si>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</si>
  <si>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</si>
  <si>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</si>
  <si>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</si>
  <si>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</si>
  <si>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</si>
  <si>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</si>
  <si>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</si>
  <si>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</si>
  <si>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</si>
  <si>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</si>
  <si>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</si>
  <si>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</si>
  <si>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</si>
  <si>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</si>
  <si>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</si>
  <si>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</si>
  <si>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</si>
  <si>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</si>
  <si>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</si>
  <si>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</si>
  <si>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</si>
  <si>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</si>
  <si>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</si>
  <si>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</si>
  <si>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</si>
  <si>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</si>
  <si>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</si>
  <si>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</si>
  <si>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</si>
  <si>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</si>
  <si>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</si>
  <si>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</si>
  <si>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</si>
  <si>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</si>
  <si>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</si>
  <si>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</si>
  <si>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</si>
  <si>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</si>
  <si>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</si>
  <si>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</si>
  <si>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</si>
  <si>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</si>
  <si>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</si>
  <si>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</si>
  <si>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</si>
  <si>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</si>
  <si>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</si>
  <si>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</si>
  <si>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</si>
  <si>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</si>
  <si>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</si>
  <si>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</si>
  <si>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</si>
  <si>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</si>
  <si>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</si>
  <si>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</si>
  <si>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</si>
  <si>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</si>
  <si>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</si>
  <si>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</si>
  <si>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</si>
  <si>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</si>
  <si>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</si>
  <si>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</si>
  <si>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</si>
  <si>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</si>
  <si>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</si>
  <si>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</si>
  <si>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</si>
  <si>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</si>
  <si>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</si>
  <si>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</si>
  <si>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</si>
  <si>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</si>
  <si>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</si>
  <si>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</si>
  <si>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</si>
  <si>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</si>
  <si>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</si>
  <si>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</si>
  <si>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</si>
  <si>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</si>
  <si>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</si>
  <si>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</si>
  <si>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</si>
  <si>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</si>
  <si>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</si>
  <si>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</si>
  <si>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</si>
  <si>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</si>
  <si>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</si>
  <si>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</si>
  <si>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</si>
  <si>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</si>
  <si>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</si>
  <si>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</si>
  <si>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</si>
  <si>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</si>
  <si>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</si>
  <si>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</si>
  <si>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</si>
  <si>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</si>
  <si>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</si>
  <si>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</si>
  <si>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</si>
  <si>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</si>
  <si>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</si>
  <si>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</si>
  <si>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</si>
  <si>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</si>
  <si>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</si>
  <si>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</si>
  <si>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</si>
  <si>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</si>
  <si>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</si>
  <si>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</si>
  <si>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</si>
  <si>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</si>
  <si>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</si>
  <si>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</si>
  <si>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</si>
  <si>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</si>
  <si>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</si>
  <si>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</si>
  <si>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</si>
  <si>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</si>
  <si>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</si>
  <si>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</si>
  <si>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</si>
  <si>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</si>
  <si>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</si>
  <si>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</si>
  <si>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</si>
  <si>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</si>
  <si>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</si>
  <si>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</si>
  <si>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</si>
  <si>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</si>
  <si>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</si>
  <si>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</si>
  <si>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</si>
  <si>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</si>
  <si>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</si>
  <si>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</si>
  <si>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</si>
  <si>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</si>
  <si>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</si>
  <si>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</si>
  <si>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</si>
  <si>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</si>
  <si>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</si>
  <si>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</si>
  <si>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</si>
  <si>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</si>
  <si>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</si>
  <si>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</si>
  <si>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</si>
  <si>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</si>
  <si>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</si>
  <si>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</si>
  <si>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</si>
  <si>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</si>
  <si>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</si>
  <si>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</si>
  <si>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</si>
  <si>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</si>
  <si>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</si>
  <si>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</si>
  <si>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</si>
  <si>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</si>
  <si>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</si>
  <si>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</si>
  <si>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</si>
  <si>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</si>
  <si>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</si>
  <si>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</si>
  <si>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</si>
  <si>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</si>
  <si>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</si>
  <si>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</si>
  <si>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</si>
  <si>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</si>
  <si>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</si>
  <si>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</si>
  <si>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</si>
  <si>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</si>
  <si>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</si>
  <si>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</si>
  <si>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</si>
  <si>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</si>
  <si>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</si>
  <si>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</si>
  <si>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</si>
  <si>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</si>
  <si>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</si>
  <si>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</si>
  <si>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</si>
  <si>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</si>
  <si>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</si>
  <si>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</si>
  <si>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</si>
  <si>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</si>
  <si>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</si>
  <si>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</si>
  <si>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</si>
  <si>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</si>
  <si>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</si>
  <si>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</si>
  <si>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</si>
  <si>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</si>
  <si>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</si>
  <si>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</si>
  <si>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</si>
  <si>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</si>
  <si>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</si>
  <si>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</si>
  <si>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</si>
  <si>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</si>
  <si>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</si>
  <si>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</si>
  <si>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</si>
  <si>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</si>
  <si>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</si>
  <si>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</si>
  <si>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</si>
  <si>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</si>
  <si>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</si>
  <si>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</si>
  <si>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</si>
  <si>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</si>
  <si>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</si>
  <si>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</si>
  <si>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</si>
  <si>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</si>
  <si>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</si>
  <si>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</si>
  <si>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</si>
  <si>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</si>
  <si>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</si>
  <si>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</si>
  <si>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</si>
  <si>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</si>
  <si>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</si>
  <si>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</si>
  <si>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</si>
  <si>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</si>
  <si>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</si>
  <si>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</si>
  <si>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</si>
  <si>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</si>
  <si>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</si>
  <si>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</si>
  <si>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</si>
  <si>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</si>
  <si>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</si>
  <si>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</si>
  <si>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</si>
  <si>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</si>
  <si>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</si>
  <si>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</si>
  <si>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</si>
  <si>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</si>
  <si>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</si>
  <si>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</si>
  <si>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</si>
  <si>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</si>
  <si>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</si>
  <si>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</si>
  <si>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</si>
  <si>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</si>
  <si>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</si>
  <si>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</si>
  <si>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</si>
  <si>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</si>
  <si>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</si>
  <si>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</si>
  <si>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</si>
  <si>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</si>
  <si>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</si>
  <si>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</si>
  <si>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</si>
  <si>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</si>
  <si>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</si>
  <si>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</si>
  <si>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</si>
  <si>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</si>
  <si>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</si>
  <si>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</si>
  <si>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</si>
  <si>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</si>
  <si>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</si>
  <si>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</si>
  <si>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</si>
  <si>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</si>
  <si>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</si>
  <si>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</si>
  <si>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</si>
  <si>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</si>
  <si>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</si>
  <si>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</si>
  <si>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</si>
  <si>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</si>
  <si>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</si>
  <si>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</si>
  <si>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</si>
  <si>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</si>
  <si>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</si>
  <si>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</si>
  <si>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</si>
  <si>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</si>
  <si>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</si>
  <si>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</si>
  <si>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</si>
  <si>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</si>
  <si>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</si>
  <si>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</si>
  <si>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</si>
  <si>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</si>
  <si>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</si>
  <si>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</si>
  <si>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</si>
  <si>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</si>
  <si>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</si>
  <si>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</si>
  <si>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</si>
  <si>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</si>
  <si>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</si>
  <si>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</si>
  <si>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</si>
  <si>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</si>
  <si>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</si>
  <si>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</si>
  <si>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</si>
  <si>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</si>
  <si>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</si>
  <si>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</si>
  <si>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</si>
  <si>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</si>
  <si>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</si>
  <si>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</si>
  <si>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</si>
  <si>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</si>
  <si>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</si>
  <si>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</si>
  <si>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</si>
  <si>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</si>
  <si>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</si>
  <si>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</si>
  <si>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</si>
  <si>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</si>
  <si>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</si>
  <si>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</si>
  <si>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</si>
  <si>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</si>
  <si>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</si>
  <si>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</si>
  <si>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</si>
  <si>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</si>
  <si>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</si>
  <si>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</si>
  <si>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</si>
  <si>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</si>
  <si>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</si>
  <si>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</si>
  <si>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</si>
  <si>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</si>
  <si>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</si>
  <si>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</si>
  <si>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</si>
  <si>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</si>
  <si>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</si>
  <si>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</si>
  <si>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</si>
  <si>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</si>
  <si>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</si>
  <si>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</si>
  <si>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</si>
  <si>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</si>
  <si>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</si>
  <si>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</si>
  <si>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</si>
  <si>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</si>
  <si>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</si>
  <si>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</si>
  <si>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</si>
  <si>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</si>
  <si>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</si>
  <si>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</si>
  <si>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</si>
  <si>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</si>
  <si>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</si>
  <si>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</si>
  <si>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</si>
  <si>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</si>
  <si>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</si>
  <si>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</si>
  <si>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</si>
  <si>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</si>
  <si>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</si>
  <si>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</si>
  <si>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</si>
  <si>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</si>
  <si>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</si>
  <si>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</si>
  <si>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</si>
  <si>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</si>
  <si>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</si>
  <si>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</si>
  <si>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</si>
  <si>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</si>
  <si>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</si>
  <si>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</si>
  <si>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</si>
  <si>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</si>
  <si>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</si>
  <si>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</si>
  <si>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</si>
  <si>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</si>
  <si>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</si>
  <si>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</si>
  <si>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</si>
  <si>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</si>
  <si>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</si>
  <si>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</si>
  <si>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</si>
  <si>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</si>
  <si>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</si>
  <si>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</si>
  <si>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</si>
  <si>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</si>
  <si>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</si>
  <si>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</si>
  <si>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</si>
  <si>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</si>
  <si>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</si>
  <si>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</si>
  <si>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</si>
  <si>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</si>
  <si>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</si>
  <si>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</si>
  <si>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</si>
  <si>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</si>
  <si>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</si>
  <si>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</si>
  <si>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</si>
  <si>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</si>
  <si>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</si>
  <si>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</si>
  <si>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</si>
  <si>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</si>
  <si>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</si>
  <si>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</si>
  <si>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</si>
  <si>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</si>
  <si>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</si>
  <si>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</si>
  <si>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</si>
  <si>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</si>
  <si>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</si>
  <si>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</si>
  <si>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</si>
  <si>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</si>
  <si>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</si>
  <si>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</si>
  <si>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</si>
  <si>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</si>
  <si>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</si>
  <si>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</si>
  <si>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</si>
  <si>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</si>
  <si>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</si>
  <si>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</si>
  <si>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</si>
  <si>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</si>
  <si>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</si>
  <si>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</si>
  <si>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</si>
  <si>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</si>
  <si>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</si>
  <si>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</si>
  <si>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</si>
  <si>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</si>
  <si>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</si>
  <si>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</si>
  <si>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</si>
  <si>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</si>
  <si>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</si>
  <si>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</si>
  <si>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</si>
  <si>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</si>
  <si>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</si>
  <si>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</si>
  <si>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</si>
  <si>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</si>
  <si>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</si>
  <si>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</si>
  <si>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</si>
  <si>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</si>
  <si>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</si>
  <si>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</si>
  <si>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</si>
  <si>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</si>
  <si>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</si>
  <si>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</si>
  <si>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</si>
  <si>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</si>
  <si>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</si>
  <si>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</si>
  <si>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</si>
  <si>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</si>
  <si>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</si>
  <si>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</si>
  <si>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</si>
  <si>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</si>
  <si>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</si>
  <si>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</si>
  <si>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</si>
  <si>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</si>
  <si>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</si>
  <si>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</si>
  <si>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</si>
  <si>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</si>
  <si>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</si>
  <si>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</si>
  <si>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</si>
  <si>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</si>
  <si>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</si>
  <si>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</si>
  <si>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</si>
  <si>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</si>
  <si>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</si>
  <si>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</si>
  <si>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</si>
  <si>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</si>
  <si>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</si>
  <si>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</si>
  <si>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</si>
  <si>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</si>
  <si>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</si>
  <si>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</si>
  <si>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</si>
  <si>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</si>
  <si>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</si>
  <si>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</si>
  <si>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</si>
  <si>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</si>
  <si>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</si>
  <si>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</si>
  <si>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</si>
  <si>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</si>
  <si>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</si>
  <si>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</si>
  <si>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</si>
  <si>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</si>
  <si>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</si>
  <si>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</si>
  <si>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</si>
  <si>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</si>
  <si>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</si>
  <si>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</si>
  <si>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</si>
  <si>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</si>
  <si>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</si>
  <si>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</si>
  <si>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</si>
  <si>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</si>
  <si>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</si>
  <si>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</si>
  <si>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</si>
  <si>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</si>
  <si>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</si>
  <si>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</si>
  <si>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</si>
  <si>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</si>
  <si>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</si>
  <si>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</si>
  <si>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</si>
  <si>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</si>
  <si>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</si>
  <si>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</si>
  <si>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</si>
  <si>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</si>
  <si>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</si>
  <si>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</si>
  <si>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</si>
  <si>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</si>
  <si>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</si>
  <si>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</si>
  <si>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</si>
  <si>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</si>
  <si>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</si>
  <si>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</si>
  <si>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</si>
  <si>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</si>
  <si>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</si>
  <si>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</si>
  <si>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</si>
  <si>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</si>
  <si>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</si>
  <si>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</si>
  <si>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</si>
  <si>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</si>
  <si>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</si>
  <si>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</si>
  <si>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</si>
  <si>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</si>
  <si>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</si>
  <si>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</si>
  <si>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</si>
  <si>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</si>
  <si>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</si>
  <si>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</si>
  <si>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</si>
  <si>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</si>
  <si>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</si>
  <si>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</si>
  <si>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</si>
  <si>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</si>
  <si>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</si>
  <si>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</si>
  <si>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</si>
  <si>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</si>
  <si>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</si>
  <si>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</si>
  <si>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</si>
  <si>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</si>
  <si>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</si>
  <si>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</si>
  <si>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</si>
  <si>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</si>
  <si>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</si>
  <si>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</si>
  <si>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</si>
  <si>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</si>
  <si>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</si>
  <si>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</si>
  <si>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</si>
  <si>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</si>
  <si>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</si>
  <si>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</si>
  <si>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</si>
  <si>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</si>
  <si>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</si>
  <si>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</si>
  <si>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</si>
  <si>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</si>
  <si>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</si>
  <si>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</si>
  <si>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</si>
  <si>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</si>
  <si>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</si>
  <si>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</si>
  <si>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</si>
  <si>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</si>
  <si>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</si>
  <si>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</si>
  <si>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</si>
  <si>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</si>
  <si>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</si>
  <si>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</si>
  <si>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</si>
  <si>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</si>
  <si>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</si>
  <si>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</si>
  <si>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</si>
  <si>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</si>
  <si>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</si>
  <si>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</si>
  <si>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</si>
  <si>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</si>
  <si>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</si>
  <si>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</si>
  <si>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</si>
  <si>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</si>
  <si>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</si>
  <si>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</si>
  <si>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</si>
  <si>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</si>
  <si>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</si>
  <si>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</si>
  <si>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</si>
  <si>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</si>
  <si>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</si>
  <si>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</si>
  <si>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</si>
  <si>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</si>
  <si>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</si>
  <si>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</si>
  <si>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</si>
  <si>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</si>
  <si>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</si>
  <si>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</si>
  <si>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</si>
  <si>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</si>
  <si>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</si>
  <si>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</si>
  <si>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</si>
  <si>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</si>
  <si>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</si>
  <si>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</si>
  <si>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</si>
  <si>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</si>
  <si>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</si>
  <si>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</si>
  <si>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</si>
  <si>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</si>
  <si>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</si>
  <si>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</si>
  <si>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</si>
  <si>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</si>
  <si>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</si>
  <si>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</si>
  <si>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</si>
  <si>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</si>
  <si>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</si>
  <si>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</si>
  <si>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</si>
  <si>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</si>
  <si>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</si>
  <si>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</si>
  <si>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</si>
  <si>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</si>
  <si>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</si>
  <si>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</si>
  <si>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</si>
  <si>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</si>
  <si>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</si>
  <si>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</si>
  <si>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</si>
  <si>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</si>
  <si>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</si>
  <si>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</si>
  <si>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</si>
  <si>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</si>
  <si>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</si>
  <si>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</si>
  <si>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</si>
  <si>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</si>
  <si>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</si>
  <si>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</si>
  <si>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</si>
  <si>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</si>
  <si>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</si>
  <si>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</si>
  <si>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</si>
  <si>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</si>
  <si>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</si>
  <si>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</si>
  <si>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</si>
  <si>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</si>
  <si>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</si>
  <si>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</si>
  <si>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</si>
  <si>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</si>
  <si>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</si>
  <si>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</si>
  <si>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</si>
  <si>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</si>
  <si>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</si>
  <si>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</si>
  <si>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</si>
  <si>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</si>
  <si>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</si>
  <si>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</si>
  <si>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</si>
  <si>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</si>
  <si>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</si>
  <si>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</si>
  <si>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</si>
  <si>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</si>
  <si>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</si>
  <si>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</si>
  <si>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</si>
  <si>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</si>
  <si>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</si>
  <si>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</si>
  <si>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</si>
  <si>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</si>
  <si>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</si>
  <si>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</si>
  <si>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</si>
  <si>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</si>
  <si>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</si>
  <si>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</si>
  <si>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</si>
  <si>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</si>
  <si>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</si>
  <si>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</si>
  <si>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</si>
  <si>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</si>
  <si>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</si>
  <si>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</si>
  <si>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</si>
  <si>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</si>
  <si>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</si>
  <si>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</si>
  <si>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</si>
  <si>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</si>
  <si>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</si>
  <si>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</si>
  <si>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</si>
  <si>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</si>
  <si>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</si>
  <si>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</si>
  <si>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</si>
  <si>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</si>
  <si>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</si>
  <si>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</si>
  <si>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</si>
  <si>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</si>
  <si>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</si>
  <si>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</si>
  <si>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</si>
  <si>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</si>
  <si>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</si>
  <si>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</si>
  <si>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</si>
  <si>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</si>
  <si>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</si>
  <si>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</si>
  <si>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</si>
  <si>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</si>
  <si>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</si>
  <si>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</si>
  <si>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</si>
  <si>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</si>
  <si>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</si>
  <si>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</si>
  <si>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</si>
  <si>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</si>
  <si>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</si>
  <si>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</si>
  <si>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</si>
  <si>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</si>
  <si>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</si>
  <si>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</si>
  <si>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</si>
  <si>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</si>
  <si>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</si>
  <si>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</si>
  <si>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</si>
  <si>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</si>
  <si>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</si>
  <si>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</si>
  <si>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</si>
  <si>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</si>
  <si>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</si>
  <si>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</si>
  <si>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</si>
  <si>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</si>
  <si>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</si>
  <si>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</si>
  <si>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</si>
  <si>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</si>
  <si>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</si>
  <si>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</si>
  <si>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</si>
  <si>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</si>
  <si>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</si>
  <si>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</si>
  <si>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</si>
  <si>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</si>
  <si>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</si>
  <si>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</si>
  <si>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</si>
  <si>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</si>
  <si>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</si>
  <si>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</si>
  <si>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</si>
  <si>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</si>
  <si>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</si>
  <si>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</si>
  <si>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</si>
  <si>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</si>
  <si>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</si>
  <si>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</si>
  <si>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</si>
  <si>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</si>
  <si>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</si>
  <si>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</si>
  <si>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</si>
  <si>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</si>
  <si>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</si>
  <si>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</si>
  <si>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</si>
  <si>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</si>
  <si>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</si>
  <si>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</si>
  <si>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</si>
  <si>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</si>
  <si>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</si>
  <si>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</si>
  <si>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</si>
  <si>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</si>
  <si>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</si>
  <si>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</si>
  <si>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</si>
  <si>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</si>
  <si>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</si>
  <si>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</si>
  <si>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</si>
  <si>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</si>
  <si>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</si>
  <si>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</si>
  <si>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</si>
  <si>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</si>
  <si>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</si>
  <si>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</si>
  <si>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</si>
  <si>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</si>
  <si>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</si>
  <si>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</si>
  <si>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</si>
  <si>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</si>
  <si>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</si>
  <si>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</si>
  <si>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</si>
  <si>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</si>
  <si>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</si>
  <si>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</si>
  <si>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</si>
  <si>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</si>
  <si>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</si>
  <si>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</si>
  <si>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</si>
  <si>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</si>
  <si>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</si>
  <si>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</si>
  <si>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</si>
  <si>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</si>
  <si>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</si>
  <si>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</si>
  <si>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</si>
  <si>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</si>
  <si>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</si>
  <si>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</si>
  <si>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</si>
  <si>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</si>
  <si>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</si>
  <si>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</si>
  <si>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</si>
  <si>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</si>
  <si>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</si>
  <si>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</si>
  <si>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</si>
  <si>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</si>
  <si>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</si>
  <si>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</si>
  <si>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</si>
  <si>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</si>
  <si>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</si>
  <si>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</si>
  <si>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</si>
  <si>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</si>
  <si>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</si>
  <si>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</si>
  <si>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</si>
  <si>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</si>
  <si>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</si>
  <si>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</si>
  <si>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</si>
  <si>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</si>
  <si>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</si>
  <si>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</si>
  <si>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</si>
  <si>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</si>
  <si>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</si>
  <si>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</si>
  <si>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</si>
  <si>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</si>
  <si>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</si>
  <si>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</si>
  <si>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</si>
  <si>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</si>
  <si>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</si>
  <si>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</si>
  <si>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</si>
  <si>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</si>
  <si>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</si>
  <si>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</si>
  <si>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</si>
  <si>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</si>
  <si>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</si>
  <si>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</si>
  <si>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</si>
  <si>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</si>
  <si>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</si>
  <si>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</si>
  <si>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</si>
  <si>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</si>
  <si>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</si>
  <si>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</si>
  <si>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</si>
  <si>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</si>
  <si>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</si>
  <si>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</si>
  <si>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</si>
  <si>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</si>
  <si>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</si>
  <si>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</si>
  <si>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</si>
  <si>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</si>
  <si>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</si>
  <si>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</si>
  <si>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</si>
  <si>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</si>
  <si>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</si>
  <si>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</si>
  <si>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</si>
  <si>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</si>
  <si>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</si>
  <si>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</si>
  <si>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</si>
  <si>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</si>
  <si>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</si>
  <si>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</si>
  <si>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</si>
  <si>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</si>
  <si>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</si>
  <si>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</si>
  <si>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</si>
  <si>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</si>
  <si>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</si>
  <si>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</si>
  <si>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</si>
  <si>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</si>
  <si>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</si>
  <si>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</si>
  <si>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</si>
  <si>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</si>
  <si>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</si>
  <si>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</si>
  <si>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</si>
  <si>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</si>
  <si>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</si>
  <si>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</si>
  <si>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</si>
  <si>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</si>
  <si>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</si>
  <si>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</si>
  <si>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</si>
  <si>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</si>
  <si>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</si>
  <si>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</si>
  <si>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</si>
  <si>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</si>
  <si>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</si>
  <si>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</si>
  <si>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</si>
  <si>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</si>
  <si>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</si>
  <si>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</si>
  <si>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</si>
  <si>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</si>
  <si>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</si>
  <si>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</si>
  <si>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</si>
  <si>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</si>
  <si>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</si>
  <si>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</si>
  <si>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</si>
  <si>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</si>
  <si>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</si>
  <si>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</si>
  <si>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</si>
  <si>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</si>
  <si>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</si>
  <si>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</si>
  <si>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</si>
  <si>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</si>
  <si>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</si>
  <si>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</si>
  <si>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</si>
  <si>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</si>
  <si>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</si>
  <si>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</si>
  <si>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</si>
  <si>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</si>
  <si>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</si>
  <si>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</si>
  <si>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</si>
  <si>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</si>
  <si>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</si>
  <si>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</si>
  <si>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</si>
  <si>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</si>
  <si>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</si>
  <si>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</si>
  <si>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</si>
  <si>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</si>
  <si>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</si>
  <si>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</si>
  <si>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</si>
  <si>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</si>
  <si>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</si>
  <si>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</si>
  <si>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</si>
  <si>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</si>
  <si>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</si>
  <si>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</si>
  <si>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</si>
  <si>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</si>
  <si>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</si>
  <si>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</si>
  <si>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</si>
  <si>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</si>
  <si>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</si>
  <si>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</si>
  <si>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</si>
  <si>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</si>
  <si>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</si>
  <si>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</si>
  <si>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</si>
  <si>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</si>
  <si>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</si>
  <si>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</si>
  <si>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</si>
  <si>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</si>
  <si>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</si>
  <si>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</si>
  <si>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</si>
  <si>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</si>
  <si>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</si>
  <si>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</si>
  <si>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</si>
  <si>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</si>
  <si>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</si>
  <si>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</si>
  <si>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</si>
  <si>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</si>
  <si>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</si>
  <si>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</si>
  <si>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</si>
  <si>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</si>
  <si>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</si>
  <si>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</si>
  <si>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</si>
  <si>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</si>
  <si>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</si>
  <si>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</si>
  <si>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</si>
  <si>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</si>
  <si>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</si>
  <si>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</si>
  <si>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</si>
  <si>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</si>
  <si>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</si>
  <si>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</si>
  <si>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</si>
  <si>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</si>
  <si>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</si>
  <si>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</si>
  <si>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</si>
  <si>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</si>
  <si>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</si>
  <si>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</si>
  <si>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</si>
  <si>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</si>
  <si>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</si>
  <si>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</si>
  <si>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</si>
  <si>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</si>
  <si>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</si>
  <si>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</si>
  <si>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</si>
  <si>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</si>
  <si>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</si>
  <si>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</si>
  <si>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</si>
  <si>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</si>
  <si>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</si>
  <si>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</si>
  <si>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</si>
  <si>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</si>
  <si>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</si>
  <si>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</si>
  <si>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</si>
  <si>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</si>
  <si>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</si>
  <si>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</si>
  <si>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</si>
  <si>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</si>
  <si>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</si>
  <si>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</si>
  <si>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</si>
  <si>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</si>
  <si>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</si>
  <si>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</si>
  <si>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</si>
  <si>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</si>
  <si>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</si>
  <si>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</si>
  <si>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</si>
  <si>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</si>
  <si>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</si>
  <si>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</si>
  <si>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</si>
  <si>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</si>
  <si>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</si>
  <si>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</si>
  <si>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</si>
  <si>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</si>
  <si>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</si>
  <si>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</si>
  <si>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</si>
  <si>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</si>
  <si>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</si>
  <si>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</si>
  <si>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</si>
  <si>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</si>
  <si>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</si>
  <si>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</si>
  <si>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</si>
  <si>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</si>
  <si>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</si>
  <si>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</si>
  <si>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</si>
  <si>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</si>
  <si>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</si>
  <si>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</si>
  <si>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</si>
  <si>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</si>
  <si>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</si>
  <si>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</si>
  <si>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</si>
  <si>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</si>
  <si>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</si>
  <si>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</si>
  <si>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</si>
  <si>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</si>
  <si>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</si>
  <si>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</si>
  <si>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</si>
  <si>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</si>
  <si>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</si>
  <si>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</si>
  <si>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</si>
  <si>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</si>
  <si>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</si>
  <si>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</si>
  <si>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</si>
  <si>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</si>
  <si>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</si>
  <si>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</si>
  <si>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</si>
  <si>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</si>
  <si>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</si>
  <si>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</si>
  <si>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</si>
  <si>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</si>
  <si>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</si>
  <si>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</si>
  <si>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</si>
  <si>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</si>
  <si>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</si>
  <si>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</si>
  <si>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</si>
  <si>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</si>
  <si>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</si>
  <si>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</si>
  <si>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</si>
  <si>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</si>
  <si>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</si>
  <si>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</si>
  <si>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</si>
  <si>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</si>
  <si>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</si>
  <si>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</si>
  <si>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</si>
  <si>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</si>
  <si>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</si>
  <si>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</si>
  <si>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</si>
  <si>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</si>
  <si>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</si>
  <si>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</si>
  <si>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</si>
  <si>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</si>
  <si>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</si>
  <si>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</si>
  <si>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</si>
  <si>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</si>
  <si>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</si>
  <si>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</si>
  <si>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</si>
  <si>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</si>
  <si>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</si>
  <si>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</si>
  <si>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</si>
  <si>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</si>
  <si>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</si>
  <si>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</si>
  <si>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</si>
  <si>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</si>
  <si>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</si>
  <si>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</si>
  <si>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</si>
  <si>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</si>
  <si>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</si>
  <si>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</si>
  <si>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</si>
  <si>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</si>
  <si>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</si>
  <si>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</si>
  <si>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</si>
  <si>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</si>
  <si>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</si>
  <si>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</si>
  <si>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</si>
  <si>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</si>
  <si>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</si>
  <si>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</si>
  <si>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</si>
  <si>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</si>
  <si>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</si>
  <si>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</si>
  <si>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</si>
  <si>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</si>
  <si>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</si>
  <si>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</si>
  <si>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</si>
  <si>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</si>
  <si>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</si>
  <si>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</si>
  <si>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</si>
  <si>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</si>
  <si>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</si>
  <si>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</si>
  <si>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</si>
  <si>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</si>
  <si>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</si>
  <si>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</si>
  <si>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</si>
  <si>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</si>
  <si>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</si>
  <si>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</si>
  <si>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</si>
  <si>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</si>
  <si>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</si>
  <si>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</si>
  <si>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</si>
  <si>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</si>
  <si>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</si>
  <si>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</si>
  <si>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</si>
  <si>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</si>
  <si>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</si>
  <si>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</si>
  <si>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</si>
  <si>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</si>
  <si>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</si>
  <si>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</si>
  <si>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</si>
  <si>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</si>
  <si>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</si>
  <si>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</si>
  <si>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</si>
  <si>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</si>
  <si>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</si>
  <si>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</si>
  <si>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</si>
  <si>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</si>
  <si>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</si>
  <si>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</si>
  <si>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</si>
  <si>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</si>
  <si>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</si>
  <si>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</si>
  <si>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</si>
  <si>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</si>
  <si>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</si>
  <si>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</si>
  <si>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</si>
  <si>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</si>
  <si>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</si>
  <si>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</si>
  <si>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</si>
  <si>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</si>
  <si>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</si>
  <si>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</si>
  <si>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</si>
  <si>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</si>
  <si>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</si>
  <si>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</si>
  <si>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</si>
  <si>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</si>
  <si>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</si>
  <si>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</si>
  <si>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</si>
  <si>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</si>
  <si>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</si>
  <si>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</si>
  <si>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</si>
  <si>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</si>
  <si>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</si>
  <si>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</si>
  <si>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</si>
  <si>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</si>
  <si>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</si>
  <si>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</si>
  <si>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</si>
  <si>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</si>
  <si>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</si>
  <si>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</si>
  <si>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</si>
  <si>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</si>
  <si>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</si>
  <si>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</si>
  <si>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</si>
  <si>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</si>
  <si>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</si>
  <si>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</si>
  <si>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</si>
  <si>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</si>
  <si>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</si>
  <si>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</si>
  <si>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</si>
  <si>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</si>
  <si>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</si>
  <si>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</si>
  <si>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</si>
  <si>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</si>
  <si>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</si>
  <si>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</si>
  <si>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</si>
  <si>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</si>
  <si>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</si>
  <si>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</si>
  <si>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</si>
  <si>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</si>
  <si>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</si>
  <si>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</si>
  <si>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</si>
  <si>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</si>
  <si>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</si>
  <si>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</si>
  <si>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</si>
  <si>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</si>
  <si>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</si>
  <si>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</si>
  <si>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</si>
  <si>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</si>
  <si>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</si>
  <si>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</si>
  <si>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</si>
  <si>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</si>
  <si>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</si>
  <si>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</si>
  <si>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</si>
  <si>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</si>
  <si>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</si>
  <si>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</si>
  <si>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</si>
  <si>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</si>
  <si>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</si>
  <si>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</si>
  <si>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</si>
  <si>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</si>
  <si>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</si>
  <si>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</si>
  <si>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</si>
  <si>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</si>
  <si>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</si>
  <si>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</si>
  <si>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</si>
  <si>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</si>
  <si>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</si>
  <si>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</si>
  <si>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</si>
  <si>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</si>
  <si>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</si>
  <si>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</si>
  <si>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</si>
  <si>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</si>
  <si>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</si>
  <si>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</si>
  <si>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</si>
  <si>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</si>
  <si>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</si>
  <si>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</si>
  <si>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</si>
  <si>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</si>
  <si>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</si>
  <si>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</si>
  <si>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</si>
  <si>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</si>
  <si>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</si>
  <si>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</si>
  <si>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</si>
  <si>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</si>
  <si>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</si>
  <si>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</si>
  <si>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</si>
  <si>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</si>
  <si>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</si>
  <si>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</si>
  <si>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</si>
  <si>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</si>
  <si>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</si>
  <si>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</si>
  <si>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</si>
  <si>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</si>
  <si>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</si>
  <si>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</si>
  <si>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</si>
  <si>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</si>
  <si>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</si>
  <si>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</si>
  <si>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</si>
  <si>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</si>
  <si>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</si>
  <si>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</si>
  <si>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</si>
  <si>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</si>
  <si>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</si>
  <si>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</si>
  <si>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</si>
  <si>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</si>
  <si>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</si>
  <si>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</si>
  <si>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</si>
  <si>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</si>
  <si>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</si>
  <si>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</si>
  <si>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</si>
  <si>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</si>
  <si>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</si>
  <si>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</si>
  <si>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</si>
  <si>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</si>
  <si>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</si>
  <si>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</si>
  <si>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</si>
  <si>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</si>
  <si>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</si>
  <si>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</si>
  <si>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</si>
  <si>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</si>
  <si>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</si>
  <si>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</si>
  <si>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</si>
  <si>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</si>
  <si>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</si>
  <si>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</si>
  <si>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</si>
  <si>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</si>
  <si>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</si>
  <si>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</si>
  <si>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</si>
  <si>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</si>
  <si>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</si>
  <si>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</si>
  <si>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</si>
  <si>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</si>
  <si>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</si>
  <si>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</si>
  <si>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</si>
  <si>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</si>
  <si>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</si>
  <si>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</si>
  <si>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</si>
  <si>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</si>
  <si>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</si>
  <si>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</si>
  <si>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</si>
  <si>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</si>
  <si>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</si>
  <si>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</si>
  <si>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</si>
  <si>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</si>
  <si>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</si>
  <si>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</si>
  <si>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</si>
  <si>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</si>
  <si>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</si>
  <si>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</si>
  <si>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</si>
  <si>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</si>
  <si>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</si>
  <si>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</si>
  <si>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</si>
  <si>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</si>
  <si>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</si>
  <si>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</si>
  <si>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</si>
  <si>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</si>
  <si>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</si>
  <si>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</si>
  <si>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</si>
  <si>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</si>
  <si>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</si>
  <si>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</si>
  <si>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</si>
  <si>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</si>
  <si>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</si>
  <si>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</si>
  <si>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</si>
  <si>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</si>
  <si>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</si>
  <si>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</si>
  <si>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</si>
  <si>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</si>
  <si>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</si>
  <si>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</si>
  <si>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</si>
  <si>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</si>
  <si>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</si>
  <si>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</si>
  <si>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</si>
  <si>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</si>
  <si>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</si>
  <si>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</si>
  <si>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</si>
  <si>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</si>
  <si>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</si>
  <si>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</si>
  <si>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</si>
  <si>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</si>
  <si>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</si>
  <si>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</si>
  <si>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</si>
  <si>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</si>
  <si>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</si>
  <si>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</si>
  <si>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</si>
  <si>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</si>
  <si>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</si>
  <si>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</si>
  <si>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</si>
  <si>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</si>
  <si>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</si>
  <si>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</si>
  <si>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</si>
  <si>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</si>
  <si>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</si>
  <si>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</si>
  <si>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</si>
  <si>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</si>
  <si>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</si>
  <si>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</si>
  <si>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</si>
  <si>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</si>
  <si>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</si>
  <si>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</si>
  <si>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</si>
  <si>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</si>
  <si>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</si>
  <si>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</si>
  <si>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</si>
  <si>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</si>
  <si>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</si>
  <si>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</si>
  <si>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</si>
  <si>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</si>
  <si>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</si>
  <si>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</si>
  <si>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</si>
  <si>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</si>
  <si>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</si>
  <si>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</si>
  <si>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</si>
  <si>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</si>
  <si>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</si>
  <si>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</si>
  <si>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</si>
  <si>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</si>
  <si>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</si>
  <si>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</si>
  <si>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</si>
  <si>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</si>
  <si>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</si>
  <si>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</si>
  <si>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</si>
  <si>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</si>
  <si>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</si>
  <si>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</si>
  <si>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</si>
  <si>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</si>
  <si>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</si>
  <si>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</si>
  <si>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</si>
  <si>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</si>
  <si>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</si>
  <si>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</si>
  <si>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</si>
  <si>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</si>
  <si>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</si>
  <si>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</si>
  <si>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</si>
  <si>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</si>
  <si>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</si>
  <si>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</si>
  <si>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</si>
  <si>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</si>
  <si>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</si>
  <si>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</si>
  <si>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</si>
  <si>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</si>
  <si>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</si>
  <si>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</si>
  <si>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</si>
  <si>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</si>
  <si>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</si>
  <si>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</si>
  <si>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</si>
  <si>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</si>
  <si>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</si>
  <si>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</si>
  <si>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</si>
  <si>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</si>
  <si>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</si>
  <si>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</si>
  <si>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</si>
  <si>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</si>
  <si>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</si>
  <si>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</si>
  <si>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</si>
  <si>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</si>
  <si>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</si>
  <si>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</si>
  <si>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</si>
  <si>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</si>
  <si>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</si>
  <si>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</si>
  <si>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</si>
  <si>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</si>
  <si>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</si>
  <si>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</si>
  <si>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</si>
  <si>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</si>
  <si>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</si>
  <si>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</si>
  <si>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</si>
  <si>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</si>
  <si>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</si>
  <si>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</si>
  <si>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</si>
  <si>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</si>
  <si>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</si>
  <si>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</si>
  <si>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</si>
  <si>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</si>
  <si>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</si>
  <si>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</si>
  <si>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</si>
  <si>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</si>
  <si>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</si>
  <si>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</si>
  <si>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</si>
  <si>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</si>
  <si>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</si>
  <si>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</si>
  <si>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</si>
  <si>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</si>
  <si>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</si>
  <si>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</si>
  <si>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</si>
  <si>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</si>
  <si>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</si>
  <si>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</si>
  <si>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</si>
  <si>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</si>
  <si>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</si>
  <si>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</si>
  <si>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</si>
  <si>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</si>
  <si>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</si>
  <si>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</si>
  <si>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</si>
  <si>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</si>
  <si>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</si>
  <si>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</si>
  <si>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</si>
  <si>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</si>
  <si>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</si>
  <si>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</si>
  <si>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</si>
  <si>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</si>
  <si>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</si>
  <si>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</si>
  <si>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</si>
  <si>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</si>
  <si>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</si>
  <si>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</si>
  <si>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</si>
  <si>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</si>
  <si>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</si>
  <si>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</si>
  <si>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</si>
  <si>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</si>
  <si>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</si>
  <si>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</si>
  <si>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</si>
  <si>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</si>
  <si>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</si>
  <si>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</si>
  <si>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</si>
  <si>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</si>
  <si>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</si>
  <si>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</si>
  <si>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</si>
  <si>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</si>
  <si>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</si>
  <si>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</si>
  <si>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</si>
  <si>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</si>
  <si>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</si>
  <si>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</si>
  <si>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</si>
  <si>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</si>
  <si>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</si>
  <si>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</si>
  <si>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</si>
  <si>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</si>
  <si>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</si>
  <si>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</si>
  <si>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</si>
  <si>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</si>
  <si>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</si>
  <si>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</si>
  <si>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</si>
  <si>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</si>
  <si>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</si>
  <si>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</si>
  <si>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</si>
  <si>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</si>
  <si>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</si>
  <si>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</si>
  <si>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</si>
  <si>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</si>
  <si>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</si>
  <si>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</si>
  <si>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</si>
  <si>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</si>
  <si>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</si>
  <si>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</si>
  <si>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</si>
  <si>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</si>
  <si>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</si>
  <si>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</si>
  <si>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</si>
  <si>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</si>
  <si>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</si>
  <si>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</si>
  <si>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</si>
  <si>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</si>
  <si>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</si>
  <si>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</si>
  <si>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</si>
  <si>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</si>
  <si>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</si>
  <si>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</si>
  <si>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</si>
  <si>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</si>
  <si>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</si>
  <si>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</si>
  <si>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</si>
  <si>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</si>
  <si>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</si>
  <si>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</si>
  <si>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</si>
  <si>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</si>
  <si>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</si>
  <si>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</si>
  <si>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</si>
  <si>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</si>
  <si>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</si>
  <si>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</si>
  <si>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</si>
  <si>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</si>
  <si>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</si>
  <si>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</si>
  <si>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</si>
  <si>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</si>
  <si>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</si>
  <si>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</si>
  <si>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</si>
  <si>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</si>
  <si>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</si>
  <si>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</si>
  <si>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</si>
  <si>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</si>
  <si>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</si>
  <si>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</si>
  <si>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</si>
  <si>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</si>
  <si>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</si>
  <si>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</si>
  <si>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</si>
  <si>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</si>
  <si>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</si>
  <si>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</si>
  <si>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</si>
  <si>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</si>
  <si>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</si>
  <si>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</si>
  <si>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</si>
  <si>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</si>
  <si>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</si>
  <si>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</si>
  <si>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</si>
  <si>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</si>
  <si>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</si>
  <si>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</si>
  <si>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</si>
  <si>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</si>
  <si>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</si>
  <si>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</si>
  <si>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</si>
  <si>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</si>
  <si>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</si>
  <si>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</si>
  <si>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</si>
  <si>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</si>
  <si>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</si>
  <si>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</si>
  <si>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</si>
  <si>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</si>
  <si>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</si>
  <si>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</si>
  <si>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</si>
  <si>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</si>
  <si>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</si>
  <si>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</si>
  <si>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</si>
  <si>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</si>
  <si>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</si>
  <si>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</si>
  <si>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</si>
  <si>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</si>
  <si>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</si>
  <si>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</si>
  <si>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</si>
  <si>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</si>
  <si>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</si>
  <si>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</si>
  <si>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</si>
  <si>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</si>
  <si>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</si>
  <si>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</si>
  <si>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</si>
  <si>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</si>
  <si>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</si>
  <si>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</si>
  <si>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</si>
  <si>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</si>
  <si>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</si>
  <si>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</si>
  <si>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</si>
  <si>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</si>
  <si>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</si>
  <si>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</si>
  <si>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</si>
  <si>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</si>
  <si>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</si>
  <si>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</si>
  <si>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</si>
  <si>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</si>
  <si>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</si>
  <si>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</si>
  <si>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</si>
  <si>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</si>
  <si>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</si>
  <si>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</si>
  <si>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</si>
  <si>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</si>
  <si>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</si>
  <si>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</si>
  <si>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</si>
  <si>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</si>
  <si>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</si>
  <si>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</si>
  <si>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</si>
  <si>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</si>
  <si>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</si>
  <si>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</si>
  <si>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</si>
  <si>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</si>
  <si>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</si>
  <si>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</si>
  <si>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</si>
  <si>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</si>
  <si>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</si>
  <si>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</si>
  <si>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</si>
  <si>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</si>
  <si>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</si>
  <si>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</si>
  <si>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</si>
  <si>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</si>
  <si>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</si>
  <si>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</si>
  <si>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</si>
  <si>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</si>
  <si>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</si>
  <si>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</si>
  <si>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</si>
  <si>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</si>
  <si>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</si>
  <si>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</si>
  <si>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</si>
  <si>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</si>
  <si>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</si>
  <si>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</si>
  <si>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</si>
  <si>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</si>
  <si>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</si>
  <si>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</si>
  <si>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</si>
  <si>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</si>
  <si>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</si>
  <si>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</si>
  <si>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</si>
  <si>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</si>
  <si>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</si>
  <si>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</si>
  <si>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</si>
  <si>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</si>
  <si>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</si>
  <si>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</si>
  <si>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</si>
  <si>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</si>
  <si>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</si>
  <si>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</si>
  <si>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</si>
  <si>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</si>
  <si>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</si>
  <si>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</si>
  <si>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</si>
  <si>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</si>
  <si>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</si>
  <si>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</si>
  <si>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</si>
  <si>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</si>
  <si>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</si>
  <si>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</si>
  <si>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</si>
  <si>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</si>
  <si>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</si>
  <si>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</si>
  <si>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</si>
  <si>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</si>
  <si>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</si>
  <si>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</si>
  <si>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</si>
  <si>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</si>
  <si>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</si>
  <si>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</si>
  <si>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</si>
  <si>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</si>
  <si>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</si>
  <si>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</si>
  <si>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</si>
  <si>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</si>
  <si>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</si>
  <si>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</si>
  <si>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</si>
  <si>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</si>
  <si>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</si>
  <si>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</si>
  <si>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</si>
  <si>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</si>
  <si>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</si>
  <si>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</si>
  <si>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</si>
  <si>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</si>
  <si>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</si>
  <si>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</si>
  <si>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</si>
  <si>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</si>
  <si>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</si>
  <si>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</si>
  <si>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</si>
  <si>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</si>
  <si>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</si>
  <si>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</si>
  <si>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</si>
  <si>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</si>
  <si>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</si>
  <si>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</si>
  <si>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</si>
  <si>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</si>
  <si>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</si>
  <si>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</si>
  <si>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</si>
  <si>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</si>
  <si>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</si>
  <si>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</si>
  <si>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</si>
  <si>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</si>
  <si>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</si>
  <si>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</si>
  <si>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</si>
  <si>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</si>
  <si>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</si>
  <si>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</si>
  <si>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</si>
  <si>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</si>
  <si>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</si>
  <si>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</si>
  <si>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</si>
  <si>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</si>
  <si>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</si>
  <si>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</si>
  <si>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</si>
  <si>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</si>
  <si>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</si>
  <si>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</si>
  <si>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</si>
  <si>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</si>
  <si>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</si>
  <si>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</si>
  <si>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</si>
  <si>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</si>
  <si>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</si>
  <si>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</si>
  <si>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</si>
  <si>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</si>
  <si>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</si>
  <si>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</si>
  <si>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</si>
  <si>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</si>
  <si>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</si>
  <si>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</si>
  <si>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</si>
  <si>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</si>
  <si>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</si>
  <si>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</si>
  <si>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</si>
  <si>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</si>
  <si>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</si>
  <si>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</si>
  <si>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</si>
  <si>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</si>
  <si>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</si>
  <si>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</si>
  <si>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</si>
  <si>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</si>
  <si>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</si>
  <si>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</si>
  <si>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</si>
  <si>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</si>
  <si>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</si>
  <si>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</si>
  <si>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</si>
  <si>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</si>
  <si>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</si>
  <si>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</si>
  <si>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</si>
  <si>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</si>
  <si>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</si>
  <si>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</si>
  <si>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</si>
  <si>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</si>
  <si>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</si>
  <si>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</si>
  <si>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</si>
  <si>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</si>
  <si>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</si>
  <si>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</si>
  <si>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</si>
  <si>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</si>
  <si>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</si>
  <si>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</si>
  <si>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</si>
  <si>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</si>
  <si>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</si>
  <si>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</si>
  <si>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</si>
  <si>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</si>
  <si>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</si>
  <si>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</si>
  <si>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</si>
  <si>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</si>
  <si>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</si>
  <si>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</si>
  <si>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</si>
  <si>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</si>
  <si>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</si>
  <si>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</si>
  <si>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</si>
  <si>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</si>
  <si>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</si>
  <si>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</si>
  <si>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</si>
  <si>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</si>
  <si>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</si>
  <si>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</si>
  <si>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</si>
  <si>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</si>
  <si>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</si>
  <si>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</si>
  <si>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</si>
  <si>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</si>
  <si>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</si>
  <si>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</si>
  <si>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</si>
  <si>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</si>
  <si>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</si>
  <si>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</si>
  <si>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</si>
  <si>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</si>
  <si>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</si>
  <si>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</si>
  <si>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</si>
  <si>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</si>
  <si>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</si>
  <si>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</si>
  <si>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</si>
  <si>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</si>
  <si>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</si>
  <si>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</si>
  <si>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</si>
  <si>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</si>
  <si>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</si>
  <si>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</si>
  <si>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</si>
  <si>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</si>
  <si>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</si>
  <si>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</si>
  <si>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</si>
  <si>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</si>
  <si>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</si>
  <si>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</si>
  <si>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</si>
  <si>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</si>
  <si>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</si>
  <si>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</si>
  <si>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</si>
  <si>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</si>
  <si>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</si>
  <si>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</si>
  <si>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</si>
  <si>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</si>
  <si>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</si>
  <si>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</si>
  <si>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</si>
  <si>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</si>
  <si>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</si>
  <si>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</si>
  <si>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</si>
  <si>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</si>
  <si>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</si>
  <si>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</si>
  <si>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</si>
  <si>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</si>
  <si>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</si>
  <si>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</si>
  <si>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</si>
  <si>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</si>
  <si>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</si>
  <si>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</si>
  <si>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</si>
  <si>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</si>
  <si>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</si>
  <si>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</si>
  <si>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</si>
  <si>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</si>
  <si>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</si>
  <si>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</si>
  <si>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</si>
  <si>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</si>
  <si>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</si>
  <si>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</si>
  <si>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</si>
  <si>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</si>
  <si>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</si>
  <si>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</si>
  <si>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</si>
  <si>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</si>
  <si>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</si>
  <si>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</si>
  <si>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</si>
  <si>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</si>
  <si>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</si>
  <si>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</si>
  <si>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</si>
  <si>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</si>
  <si>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</si>
  <si>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</si>
  <si>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</si>
  <si>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</si>
  <si>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</si>
  <si>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</si>
  <si>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</si>
  <si>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</si>
  <si>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</si>
  <si>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</si>
  <si>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</si>
  <si>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</si>
  <si>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</si>
  <si>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</si>
  <si>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</si>
  <si>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</si>
  <si>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</si>
  <si>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</si>
  <si>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</si>
  <si>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</si>
  <si>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</si>
  <si>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</si>
  <si>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</si>
  <si>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</si>
  <si>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</si>
  <si>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</si>
  <si>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</si>
  <si>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</si>
  <si>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</si>
  <si>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</si>
  <si>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</si>
  <si>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</si>
  <si>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</si>
  <si>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</si>
  <si>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</si>
  <si>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</si>
  <si>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</si>
  <si>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</si>
  <si>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</si>
  <si>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</si>
  <si>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</si>
  <si>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</si>
  <si>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</si>
  <si>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</si>
  <si>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</si>
  <si>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</si>
  <si>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</si>
  <si>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</si>
  <si>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</si>
  <si>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</si>
  <si>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</si>
  <si>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</si>
  <si>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</si>
  <si>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</si>
  <si>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</si>
  <si>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</si>
  <si>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</si>
  <si>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</si>
  <si>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</si>
  <si>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</si>
  <si>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</si>
  <si>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</si>
  <si>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</si>
  <si>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</si>
  <si>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</si>
  <si>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</si>
  <si>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</si>
  <si>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</si>
  <si>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</si>
  <si>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</si>
  <si>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</si>
  <si>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</si>
  <si>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</si>
  <si>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</si>
  <si>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</si>
  <si>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</si>
  <si>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</si>
  <si>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</si>
  <si>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</si>
  <si>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</si>
  <si>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</si>
  <si>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</si>
  <si>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</si>
  <si>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</si>
  <si>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</si>
  <si>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</si>
  <si>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</si>
  <si>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</si>
  <si>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</si>
  <si>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</si>
  <si>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</si>
  <si>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</si>
  <si>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</si>
  <si>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</si>
  <si>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</si>
  <si>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</si>
  <si>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</si>
  <si>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</si>
  <si>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</si>
  <si>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</si>
  <si>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</si>
  <si>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</si>
  <si>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</si>
  <si>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</si>
  <si>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</si>
  <si>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</si>
  <si>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</si>
  <si>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</si>
  <si>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</si>
  <si>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</si>
  <si>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</si>
  <si>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</si>
  <si>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</si>
  <si>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</si>
  <si>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</si>
  <si>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</si>
  <si>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</si>
  <si>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</si>
  <si>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</si>
  <si>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</si>
  <si>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</si>
  <si>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</si>
  <si>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</si>
  <si>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</si>
  <si>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</si>
  <si>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</si>
  <si>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</si>
  <si>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</si>
  <si>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</si>
  <si>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</si>
  <si>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</si>
  <si>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</si>
  <si>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</si>
  <si>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</si>
  <si>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</si>
  <si>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</si>
  <si>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</si>
  <si>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</si>
  <si>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</si>
  <si>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</si>
  <si>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</si>
  <si>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</si>
  <si>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</si>
  <si>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</si>
  <si>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</si>
  <si>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</si>
  <si>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</si>
  <si>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</si>
  <si>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</si>
  <si>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</si>
  <si>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</si>
  <si>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</si>
  <si>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</si>
  <si>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</si>
  <si>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</si>
  <si>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</si>
  <si>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</si>
  <si>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</si>
  <si>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</si>
  <si>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</si>
  <si>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</si>
  <si>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</si>
  <si>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</si>
  <si>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</si>
  <si>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</si>
  <si>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</si>
  <si>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</si>
  <si>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</si>
  <si>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</si>
  <si>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</si>
  <si>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</si>
  <si>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</si>
  <si>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</si>
  <si>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</si>
  <si>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</si>
  <si>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</si>
  <si>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</si>
  <si>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</si>
  <si>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</si>
  <si>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</si>
  <si>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</si>
  <si>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</si>
  <si>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</si>
  <si>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</si>
  <si>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</si>
  <si>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</si>
  <si>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</si>
  <si>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</si>
  <si>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</si>
  <si>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</si>
  <si>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</si>
  <si>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</si>
  <si>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</si>
  <si>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</si>
  <si>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</si>
  <si>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</si>
  <si>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</si>
  <si>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</si>
  <si>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</si>
  <si>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</si>
  <si>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</si>
  <si>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</si>
  <si>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</si>
  <si>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</si>
  <si>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</si>
  <si>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</si>
  <si>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</si>
  <si>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</si>
  <si>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</si>
  <si>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</si>
  <si>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</si>
  <si>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</si>
  <si>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</si>
  <si>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</si>
  <si>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</si>
  <si>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</si>
  <si>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</si>
  <si>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</si>
  <si>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</si>
  <si>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</si>
  <si>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</si>
  <si>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</si>
  <si>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</si>
  <si>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</si>
  <si>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</si>
  <si>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</si>
  <si>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</si>
  <si>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</si>
  <si>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</si>
  <si>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</si>
  <si>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</si>
  <si>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</si>
  <si>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</si>
  <si>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</si>
  <si>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</si>
  <si>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</si>
  <si>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</si>
  <si>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</si>
  <si>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</si>
  <si>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</si>
  <si>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</si>
  <si>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</si>
  <si>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</si>
  <si>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</si>
  <si>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</si>
  <si>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</si>
  <si>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</si>
  <si>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</si>
  <si>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</si>
  <si>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</si>
  <si>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</si>
  <si>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</si>
  <si>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</si>
  <si>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</si>
  <si>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</si>
  <si>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</si>
  <si>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</si>
  <si>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</si>
  <si>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</si>
  <si>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</si>
  <si>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</si>
  <si>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</si>
  <si>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</si>
  <si>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</si>
  <si>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</si>
  <si>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</si>
  <si>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</si>
  <si>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</si>
  <si>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</si>
  <si>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</si>
  <si>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</si>
  <si>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</si>
  <si>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</si>
  <si>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</si>
  <si>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</si>
  <si>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</si>
  <si>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</si>
  <si>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</si>
  <si>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</si>
  <si>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</si>
  <si>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</si>
  <si>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</si>
  <si>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</si>
  <si>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</si>
  <si>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</si>
  <si>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</si>
  <si>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</si>
  <si>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</si>
  <si>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</si>
  <si>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</si>
  <si>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</si>
  <si>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</si>
  <si>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</si>
  <si>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</si>
  <si>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</si>
  <si>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</si>
  <si>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</si>
  <si>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</si>
  <si>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</si>
  <si>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</si>
  <si>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</si>
  <si>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</si>
  <si>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</si>
  <si>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</si>
  <si>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</si>
  <si>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</si>
  <si>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</si>
  <si>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</si>
  <si>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</si>
  <si>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</si>
  <si>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</si>
  <si>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</si>
  <si>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</si>
  <si>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</si>
  <si>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</si>
  <si>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</si>
  <si>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</si>
  <si>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</si>
  <si>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</si>
  <si>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</si>
  <si>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</si>
  <si>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</si>
  <si>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</si>
  <si>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</si>
  <si>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</si>
  <si>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</si>
  <si>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</si>
  <si>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</si>
  <si>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</si>
  <si>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</si>
  <si>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</si>
  <si>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</si>
  <si>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</si>
  <si>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</si>
  <si>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</si>
  <si>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</si>
  <si>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</si>
  <si>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</si>
  <si>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</si>
  <si>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</si>
  <si>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</si>
  <si>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</si>
  <si>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</si>
  <si>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</si>
  <si>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</si>
  <si>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</si>
  <si>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</si>
  <si>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</si>
  <si>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</si>
  <si>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</si>
  <si>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</si>
  <si>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</si>
  <si>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</si>
  <si>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</si>
  <si>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</si>
  <si>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</si>
  <si>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</si>
  <si>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</si>
  <si>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</si>
  <si>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</si>
  <si>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</si>
  <si>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</si>
  <si>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</si>
  <si>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</si>
  <si>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</si>
  <si>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</si>
  <si>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</si>
  <si>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</si>
  <si>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</si>
  <si>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</si>
  <si>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</si>
  <si>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</si>
  <si>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</si>
  <si>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</si>
  <si>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</si>
  <si>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</si>
  <si>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</si>
  <si>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</si>
  <si>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</si>
  <si>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</si>
  <si>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</si>
  <si>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</si>
  <si>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</si>
  <si>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</si>
  <si>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</si>
  <si>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</si>
  <si>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</si>
  <si>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</si>
  <si>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</si>
  <si>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</si>
  <si>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</si>
  <si>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</si>
  <si>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</si>
  <si>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</si>
  <si>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</si>
  <si>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</si>
  <si>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</si>
  <si>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</si>
  <si>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</si>
  <si>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</si>
  <si>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</si>
  <si>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</si>
  <si>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</si>
  <si>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</si>
  <si>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</si>
  <si>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</si>
  <si>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</si>
  <si>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</si>
  <si>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</si>
  <si>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</si>
  <si>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</si>
  <si>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</si>
  <si>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</si>
  <si>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</si>
  <si>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</si>
  <si>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</si>
  <si>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</si>
  <si>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</si>
  <si>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</si>
  <si>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</si>
  <si>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</si>
  <si>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</si>
  <si>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</si>
  <si>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</si>
  <si>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</si>
  <si>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</si>
  <si>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</si>
  <si>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</si>
  <si>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</si>
  <si>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</si>
  <si>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</si>
  <si>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</si>
  <si>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</si>
  <si>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</si>
  <si>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</si>
  <si>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</si>
  <si>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</si>
  <si>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</si>
  <si>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</si>
  <si>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</si>
  <si>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</si>
  <si>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</si>
  <si>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</si>
  <si>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</si>
  <si>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</si>
  <si>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</si>
  <si>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</si>
  <si>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</si>
  <si>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</si>
  <si>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</si>
  <si>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</si>
  <si>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</si>
  <si>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</si>
  <si>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</si>
  <si>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</si>
  <si>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</si>
  <si>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</si>
  <si>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</si>
  <si>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</si>
  <si>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</si>
  <si>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</si>
  <si>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</si>
  <si>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</si>
  <si>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</si>
  <si>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</si>
  <si>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</si>
  <si>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</si>
  <si>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</si>
  <si>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</si>
  <si>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</si>
  <si>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</si>
  <si>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</si>
  <si>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</si>
  <si>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</si>
  <si>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</si>
  <si>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</si>
  <si>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</si>
  <si>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</si>
  <si>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</si>
  <si>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</si>
  <si>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</si>
  <si>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</si>
  <si>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</si>
  <si>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</si>
  <si>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</si>
  <si>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</si>
  <si>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</si>
  <si>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</si>
  <si>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</si>
  <si>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</si>
  <si>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</si>
  <si>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</si>
  <si>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</si>
  <si>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</si>
  <si>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</si>
  <si>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</si>
  <si>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</si>
  <si>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</si>
  <si>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</si>
  <si>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</si>
  <si>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</si>
  <si>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</si>
  <si>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</si>
  <si>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</si>
  <si>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</si>
  <si>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</si>
  <si>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</si>
  <si>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</si>
  <si>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</si>
  <si>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</si>
  <si>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</si>
  <si>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</si>
  <si>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</si>
  <si>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</si>
  <si>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</si>
  <si>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</si>
  <si>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</si>
  <si>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</si>
  <si>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</si>
  <si>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</si>
  <si>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</si>
  <si>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</si>
  <si>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</si>
  <si>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</si>
  <si>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</si>
  <si>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</si>
  <si>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</si>
  <si>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</si>
  <si>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</si>
  <si>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</si>
  <si>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</si>
  <si>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</si>
  <si>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</si>
  <si>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</si>
  <si>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</si>
  <si>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</si>
  <si>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</si>
  <si>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</si>
  <si>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</si>
  <si>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</si>
  <si>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</si>
  <si>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</si>
  <si>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</si>
  <si>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</si>
  <si>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</si>
  <si>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</si>
  <si>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</si>
  <si>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</si>
  <si>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</si>
  <si>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</si>
  <si>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</si>
  <si>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</si>
  <si>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</si>
  <si>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</si>
  <si>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</si>
  <si>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</si>
  <si>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</si>
  <si>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</si>
  <si>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</si>
  <si>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</si>
  <si>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</si>
  <si>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</si>
  <si>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</si>
  <si>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</si>
  <si>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</si>
  <si>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</si>
  <si>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</si>
  <si>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</si>
  <si>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</si>
  <si>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</si>
  <si>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</si>
  <si>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</si>
  <si>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</si>
  <si>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</si>
  <si>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</si>
  <si>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</si>
  <si>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</si>
  <si>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</si>
  <si>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</si>
  <si>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</si>
  <si>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</si>
  <si>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</si>
  <si>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</si>
  <si>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</si>
  <si>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</si>
  <si>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</si>
  <si>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</si>
  <si>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</si>
  <si>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</si>
  <si>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</si>
  <si>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</si>
  <si>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</si>
  <si>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</si>
  <si>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</si>
  <si>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</si>
  <si>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</si>
  <si>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</si>
  <si>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</si>
  <si>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</si>
  <si>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</si>
  <si>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</si>
  <si>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</si>
  <si>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</si>
  <si>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</si>
  <si>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</si>
  <si>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</si>
  <si>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</si>
  <si>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</si>
  <si>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</si>
  <si>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</si>
  <si>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</si>
  <si>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</si>
  <si>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</si>
  <si>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</si>
  <si>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</si>
  <si>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</si>
  <si>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</si>
  <si>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</si>
  <si>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</si>
  <si>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</si>
  <si>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</si>
  <si>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</si>
  <si>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</si>
  <si>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</si>
  <si>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</si>
  <si>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</si>
  <si>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</si>
  <si>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</si>
  <si>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</si>
  <si>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</si>
  <si>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</si>
  <si>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</si>
  <si>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</si>
  <si>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</si>
  <si>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</si>
  <si>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</si>
  <si>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</si>
  <si>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</si>
  <si>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</si>
  <si>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</si>
  <si>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</si>
  <si>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</si>
  <si>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</si>
  <si>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</si>
  <si>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</si>
  <si>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</si>
  <si>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</si>
  <si>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</si>
  <si>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</si>
  <si>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</si>
  <si>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</si>
  <si>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</si>
  <si>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</si>
  <si>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</si>
  <si>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</si>
  <si>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</si>
  <si>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</si>
  <si>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</si>
  <si>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</si>
  <si>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</si>
  <si>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</si>
  <si>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</si>
  <si>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</si>
  <si>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</si>
  <si>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</si>
  <si>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</si>
  <si>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</si>
  <si>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</si>
  <si>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</si>
  <si>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</si>
  <si>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</si>
  <si>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</si>
  <si>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</si>
  <si>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</si>
  <si>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</si>
  <si>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</si>
  <si>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</si>
  <si>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</si>
  <si>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</si>
  <si>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</si>
  <si>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</si>
  <si>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</si>
  <si>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</si>
  <si>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</si>
  <si>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</si>
  <si>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</si>
  <si>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</si>
  <si>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</si>
  <si>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</si>
  <si>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</si>
  <si>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</si>
  <si>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</si>
  <si>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</si>
  <si>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</si>
  <si>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</si>
  <si>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</si>
  <si>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</si>
  <si>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</si>
  <si>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</si>
  <si>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</si>
  <si>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</si>
  <si>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</si>
  <si>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</si>
  <si>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</si>
  <si>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</si>
  <si>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</si>
  <si>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</si>
  <si>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</si>
  <si>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</si>
  <si>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</si>
  <si>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</si>
  <si>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</si>
  <si>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</si>
  <si>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</si>
  <si>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</si>
  <si>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</si>
  <si>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</si>
  <si>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</si>
  <si>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</si>
  <si>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</si>
  <si>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</si>
  <si>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</si>
  <si>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</si>
  <si>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</si>
  <si>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</si>
  <si>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</si>
  <si>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</si>
  <si>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</si>
  <si>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</si>
  <si>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</si>
  <si>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</si>
  <si>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</si>
  <si>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</si>
  <si>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</si>
  <si>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</si>
  <si>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</si>
  <si>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</si>
  <si>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</si>
  <si>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</si>
  <si>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</si>
  <si>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</si>
  <si>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</si>
  <si>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</si>
  <si>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</si>
  <si>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</si>
  <si>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</si>
  <si>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</si>
  <si>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</si>
  <si>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</si>
  <si>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</si>
  <si>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</si>
  <si>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</si>
  <si>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</si>
  <si>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</si>
  <si>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</si>
  <si>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</si>
  <si>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</si>
  <si>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</si>
  <si>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</si>
  <si>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</si>
  <si>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</si>
  <si>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</si>
  <si>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</si>
  <si>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</si>
  <si>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</si>
  <si>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</si>
  <si>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</si>
  <si>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</si>
  <si>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</si>
  <si>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</si>
  <si>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</si>
  <si>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</si>
  <si>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</si>
  <si>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</si>
  <si>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</si>
  <si>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</si>
  <si>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</si>
  <si>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</si>
  <si>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</si>
  <si>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</si>
  <si>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</si>
  <si>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</si>
  <si>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</si>
  <si>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</si>
  <si>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</si>
  <si>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</si>
  <si>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</si>
  <si>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</si>
  <si>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</si>
  <si>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</si>
  <si>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</si>
  <si>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</si>
  <si>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</si>
  <si>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</si>
  <si>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</si>
  <si>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</si>
  <si>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</si>
  <si>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</si>
  <si>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</si>
  <si>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</si>
  <si>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</si>
  <si>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</si>
  <si>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</si>
  <si>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</si>
  <si>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</si>
  <si>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</si>
  <si>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</si>
  <si>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</si>
  <si>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</si>
  <si>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</si>
  <si>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</si>
  <si>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</si>
  <si>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</si>
  <si>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</si>
  <si>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</si>
  <si>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</si>
  <si>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</si>
  <si>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</si>
  <si>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</si>
  <si>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</si>
  <si>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</si>
  <si>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</si>
  <si>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</si>
  <si>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</si>
  <si>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</si>
  <si>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</si>
  <si>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</si>
  <si>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</si>
  <si>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</si>
  <si>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</si>
  <si>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</si>
  <si>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</si>
  <si>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</si>
  <si>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</si>
  <si>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</si>
  <si>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</si>
  <si>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</si>
  <si>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</si>
  <si>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</si>
  <si>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</si>
  <si>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</si>
  <si>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</si>
  <si>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</si>
  <si>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</si>
  <si>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</si>
  <si>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</si>
  <si>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</si>
  <si>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</si>
  <si>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</si>
  <si>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</si>
  <si>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</si>
  <si>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</si>
  <si>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</si>
  <si>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</si>
  <si>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</si>
  <si>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</si>
  <si>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</si>
  <si>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</si>
  <si>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</si>
  <si>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</si>
  <si>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</si>
  <si>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</si>
  <si>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</si>
  <si>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</si>
  <si>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</si>
  <si>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</si>
  <si>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</si>
  <si>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</si>
  <si>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</si>
  <si>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</si>
  <si>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</si>
  <si>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</si>
  <si>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</si>
  <si>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</si>
  <si>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</si>
  <si>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</si>
  <si>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</si>
  <si>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</si>
  <si>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</si>
  <si>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</si>
  <si>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</si>
  <si>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</si>
  <si>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</si>
  <si>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</si>
  <si>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</si>
  <si>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</si>
  <si>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</si>
  <si>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</si>
  <si>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</si>
  <si>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</si>
  <si>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</si>
  <si>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</si>
  <si>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</si>
  <si>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</si>
  <si>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</si>
  <si>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</si>
  <si>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</si>
  <si>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</si>
  <si>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</si>
  <si>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</si>
  <si>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</si>
  <si>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</si>
  <si>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</si>
  <si>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</si>
  <si>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</si>
  <si>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</si>
  <si>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</si>
  <si>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</si>
  <si>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</si>
  <si>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</si>
  <si>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</si>
  <si>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</si>
  <si>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</si>
  <si>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</si>
  <si>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</si>
  <si>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</si>
  <si>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</si>
  <si>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</si>
  <si>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</si>
  <si>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</si>
  <si>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</si>
  <si>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</si>
  <si>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</si>
  <si>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</si>
  <si>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</si>
  <si>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</si>
  <si>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</si>
  <si>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</si>
  <si>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</si>
  <si>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</si>
  <si>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</si>
  <si>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</si>
  <si>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</si>
  <si>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</si>
  <si>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</si>
  <si>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</si>
  <si>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</si>
  <si>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</si>
  <si>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</si>
  <si>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</si>
  <si>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</si>
  <si>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</si>
  <si>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</si>
  <si>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</si>
  <si>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</si>
  <si>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</si>
  <si>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</si>
  <si>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</si>
  <si>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</si>
  <si>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</si>
  <si>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</si>
  <si>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</si>
  <si>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</si>
  <si>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</si>
  <si>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</si>
  <si>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</si>
  <si>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</si>
  <si>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</si>
  <si>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</si>
  <si>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</si>
  <si>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</si>
  <si>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</si>
  <si>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</si>
  <si>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</si>
  <si>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</si>
  <si>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</si>
  <si>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</si>
  <si>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</si>
  <si>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</si>
  <si>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</si>
  <si>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</si>
  <si>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</si>
  <si>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</si>
  <si>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</si>
  <si>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</si>
  <si>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</si>
  <si>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</si>
  <si>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</si>
  <si>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</si>
  <si>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</si>
  <si>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</si>
  <si>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</si>
  <si>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</si>
  <si>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</si>
  <si>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</si>
  <si>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</si>
  <si>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</si>
  <si>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</si>
  <si>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</si>
  <si>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</si>
  <si>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</si>
  <si>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</si>
  <si>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</si>
  <si>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</si>
  <si>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</si>
  <si>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</si>
  <si>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</si>
  <si>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</si>
  <si>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</si>
  <si>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</si>
  <si>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</si>
  <si>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</si>
  <si>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</si>
  <si>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</si>
  <si>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</si>
  <si>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</si>
  <si>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</si>
  <si>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</si>
  <si>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</si>
  <si>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</si>
  <si>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</si>
  <si>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</si>
  <si>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</si>
  <si>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</si>
  <si>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</si>
  <si>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</si>
  <si>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</si>
  <si>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</si>
  <si>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</si>
  <si>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</si>
  <si>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</si>
  <si>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</si>
  <si>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</si>
  <si>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</si>
  <si>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</si>
  <si>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</si>
  <si>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</si>
  <si>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</si>
  <si>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</si>
  <si>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</si>
  <si>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</si>
  <si>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</si>
  <si>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</si>
  <si>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</si>
  <si>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</si>
  <si>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</si>
  <si>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</si>
  <si>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</si>
  <si>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</si>
  <si>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</si>
  <si>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</si>
  <si>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</si>
  <si>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</si>
  <si>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</si>
  <si>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</si>
  <si>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</si>
  <si>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</si>
  <si>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</si>
  <si>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</si>
  <si>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</si>
  <si>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</si>
  <si>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</si>
  <si>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</si>
  <si>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</si>
  <si>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</si>
  <si>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</si>
  <si>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</si>
  <si>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</si>
  <si>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</si>
  <si>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</si>
  <si>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</si>
  <si>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</si>
  <si>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</si>
  <si>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</si>
  <si>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</si>
  <si>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</si>
  <si>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</si>
  <si>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</si>
  <si>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</si>
  <si>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</si>
  <si>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</si>
  <si>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</si>
  <si>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</si>
  <si>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</si>
  <si>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</si>
  <si>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</si>
  <si>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</si>
  <si>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</si>
  <si>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</si>
  <si>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</si>
  <si>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</si>
  <si>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</si>
  <si>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</si>
  <si>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</si>
  <si>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</si>
  <si>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</si>
  <si>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</si>
  <si>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</si>
  <si>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</si>
  <si>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</si>
  <si>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</si>
  <si>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</si>
  <si>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</si>
  <si>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</si>
  <si>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</si>
  <si>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</si>
  <si>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</si>
  <si>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</si>
  <si>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</si>
  <si>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</si>
  <si>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</si>
  <si>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</si>
  <si>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</si>
  <si>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</si>
  <si>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</si>
  <si>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</si>
  <si>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</si>
  <si>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</si>
  <si>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</si>
  <si>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</si>
  <si>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</si>
  <si>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</si>
  <si>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</si>
  <si>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</si>
  <si>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</si>
  <si>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</si>
  <si>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</si>
  <si>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</si>
  <si>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</si>
  <si>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</si>
  <si>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</si>
  <si>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</si>
  <si>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</si>
  <si>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</si>
  <si>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</si>
  <si>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</si>
  <si>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</si>
  <si>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</si>
  <si>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</si>
  <si>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</si>
  <si>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</si>
  <si>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</si>
  <si>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</si>
  <si>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</si>
  <si>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</si>
  <si>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</si>
  <si>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</si>
  <si>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</si>
  <si>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</si>
  <si>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</si>
  <si>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</si>
  <si>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</si>
  <si>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</si>
  <si>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</si>
  <si>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</si>
  <si>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</si>
  <si>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</si>
  <si>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</si>
  <si>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</si>
  <si>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</si>
  <si>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</si>
  <si>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</si>
  <si>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</si>
  <si>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</si>
  <si>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</si>
  <si>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</si>
  <si>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</si>
  <si>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</si>
  <si>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</si>
  <si>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</si>
  <si>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</si>
  <si>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</si>
  <si>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</si>
  <si>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</si>
  <si>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</si>
  <si>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</si>
  <si>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</si>
  <si>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</si>
  <si>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</si>
  <si>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</si>
  <si>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</si>
  <si>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</si>
  <si>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</si>
  <si>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</si>
  <si>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</si>
  <si>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</si>
  <si>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</si>
  <si>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</si>
  <si>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</si>
  <si>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</si>
  <si>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</si>
  <si>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</si>
  <si>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</si>
  <si>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</si>
  <si>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</si>
  <si>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</si>
  <si>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</si>
  <si>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</si>
  <si>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</si>
  <si>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</si>
  <si>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</si>
  <si>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</si>
  <si>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</si>
  <si>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</si>
  <si>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</si>
  <si>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</si>
  <si>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</si>
  <si>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</si>
  <si>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</si>
  <si>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</si>
  <si>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</si>
  <si>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</si>
  <si>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</si>
  <si>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</si>
  <si>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</si>
  <si>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</si>
  <si>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</si>
  <si>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</si>
  <si>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</si>
  <si>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</si>
  <si>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</si>
  <si>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</si>
  <si>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</si>
  <si>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</si>
  <si>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</si>
  <si>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</si>
  <si>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</si>
  <si>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</si>
  <si>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</si>
  <si>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</si>
  <si>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</si>
  <si>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</si>
  <si>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</si>
  <si>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</si>
  <si>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</si>
  <si>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</si>
  <si>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</si>
  <si>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</si>
  <si>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</si>
  <si>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</si>
  <si>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</si>
  <si>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</si>
  <si>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</si>
  <si>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</si>
  <si>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</si>
  <si>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</si>
  <si>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</si>
  <si>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</si>
  <si>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</si>
  <si>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</si>
  <si>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</si>
  <si>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</si>
  <si>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</si>
  <si>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</si>
  <si>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</si>
  <si>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</si>
  <si>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</si>
  <si>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</si>
  <si>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</si>
  <si>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</si>
  <si>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</si>
  <si>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</si>
  <si>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</si>
  <si>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</si>
  <si>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</si>
  <si>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</si>
  <si>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</si>
  <si>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</si>
  <si>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</si>
  <si>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</si>
  <si>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</si>
  <si>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</si>
  <si>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</si>
  <si>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</si>
  <si>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</si>
  <si>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</si>
  <si>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</si>
  <si>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</si>
  <si>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</si>
  <si>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</si>
  <si>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</si>
  <si>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</si>
  <si>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</si>
  <si>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</si>
  <si>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</si>
  <si>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</si>
  <si>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</si>
  <si>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</si>
  <si>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</si>
  <si>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</si>
  <si>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</si>
  <si>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</si>
  <si>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</si>
  <si>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</si>
  <si>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</si>
  <si>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</si>
  <si>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</si>
  <si>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</si>
  <si>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</si>
  <si>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</si>
  <si>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</si>
  <si>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</si>
  <si>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</si>
  <si>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</si>
  <si>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</si>
  <si>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</si>
  <si>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</si>
  <si>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</si>
  <si>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</si>
  <si>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</si>
  <si>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</si>
  <si>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</si>
  <si>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</si>
  <si>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</si>
  <si>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</si>
  <si>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</si>
  <si>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</si>
  <si>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</si>
  <si>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</si>
  <si>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</si>
  <si>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</si>
  <si>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</si>
  <si>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</si>
  <si>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</si>
  <si>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</si>
  <si>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</si>
  <si>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</si>
  <si>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</si>
  <si>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</si>
  <si>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</si>
  <si>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</si>
  <si>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</si>
  <si>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</si>
  <si>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</si>
  <si>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</si>
  <si>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</si>
  <si>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</si>
  <si>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</si>
  <si>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</si>
  <si>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</si>
  <si>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</si>
  <si>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</si>
  <si>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</si>
  <si>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</si>
  <si>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</si>
  <si>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</si>
  <si>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</si>
  <si>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</si>
  <si>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</si>
  <si>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</si>
  <si>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</si>
  <si>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</si>
  <si>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</si>
  <si>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</si>
  <si>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</si>
  <si>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</si>
  <si>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</si>
  <si>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</si>
  <si>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</si>
  <si>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</si>
  <si>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</si>
  <si>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</si>
  <si>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</si>
  <si>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</si>
  <si>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</si>
  <si>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</si>
  <si>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</si>
  <si>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</si>
  <si>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</si>
  <si>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</si>
  <si>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</si>
  <si>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</si>
  <si>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</si>
  <si>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</si>
  <si>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</si>
  <si>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</si>
  <si>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</si>
  <si>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</si>
  <si>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</si>
  <si>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</si>
  <si>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</si>
  <si>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</si>
  <si>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</si>
  <si>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</si>
  <si>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</si>
  <si>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</si>
  <si>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</si>
  <si>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</si>
  <si>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</si>
  <si>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</si>
  <si>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</si>
  <si>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</si>
  <si>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</si>
  <si>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</si>
  <si>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</si>
  <si>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</si>
  <si>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</si>
  <si>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</si>
  <si>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</si>
  <si>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</si>
  <si>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</si>
  <si>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</si>
  <si>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</si>
  <si>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</si>
  <si>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</si>
  <si>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</si>
  <si>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</si>
  <si>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</si>
  <si>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</si>
  <si>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</si>
  <si>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</si>
  <si>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</si>
  <si>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</si>
  <si>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</si>
  <si>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</si>
  <si>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</si>
  <si>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</si>
  <si>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</si>
  <si>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</si>
  <si>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</si>
  <si>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</si>
  <si>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</si>
  <si>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</si>
  <si>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</si>
  <si>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</si>
  <si>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</si>
  <si>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</si>
  <si>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</si>
  <si>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</si>
  <si>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</si>
  <si>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</si>
  <si>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</si>
  <si>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</si>
  <si>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</si>
  <si>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</si>
  <si>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</si>
  <si>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</si>
  <si>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</si>
  <si>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</si>
  <si>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</si>
  <si>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</si>
  <si>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</si>
  <si>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</si>
  <si>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</si>
  <si>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</si>
  <si>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</si>
  <si>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</si>
  <si>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</si>
  <si>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</si>
  <si>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</si>
  <si>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</si>
  <si>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</si>
  <si>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</si>
  <si>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</si>
  <si>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</si>
  <si>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</si>
  <si>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</si>
  <si>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</si>
  <si>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</si>
  <si>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</si>
  <si>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</si>
  <si>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</si>
  <si>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</si>
  <si>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</si>
  <si>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</si>
  <si>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</si>
  <si>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</si>
  <si>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</si>
  <si>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</si>
  <si>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</si>
  <si>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</si>
  <si>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</si>
  <si>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</si>
  <si>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</si>
  <si>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</si>
  <si>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</si>
  <si>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</si>
  <si>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</si>
  <si>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</si>
  <si>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</si>
  <si>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</si>
  <si>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</si>
  <si>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</si>
  <si>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</si>
  <si>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</si>
  <si>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</si>
  <si>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</si>
  <si>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</si>
  <si>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</si>
  <si>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</si>
  <si>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</si>
  <si>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</si>
  <si>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</si>
  <si>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</si>
  <si>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</si>
  <si>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</si>
  <si>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</si>
  <si>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</si>
  <si>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</si>
  <si>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</si>
  <si>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</si>
  <si>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</si>
  <si>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</si>
  <si>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</si>
  <si>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</si>
  <si>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</si>
  <si>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</si>
  <si>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</si>
  <si>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</si>
  <si>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</si>
  <si>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</si>
  <si>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</si>
  <si>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</si>
  <si>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</si>
  <si>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</si>
  <si>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</si>
  <si>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</si>
  <si>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</si>
  <si>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</si>
  <si>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</si>
  <si>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</si>
  <si>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</si>
  <si>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</si>
  <si>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</si>
  <si>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</si>
  <si>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</si>
  <si>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</si>
  <si>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</si>
  <si>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</si>
  <si>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</si>
  <si>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</si>
  <si>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</si>
  <si>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</si>
  <si>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</si>
  <si>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</si>
  <si>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</si>
  <si>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</si>
  <si>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</si>
  <si>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</si>
  <si>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</si>
  <si>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</si>
  <si>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</si>
  <si>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</si>
  <si>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</si>
  <si>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</si>
  <si>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</si>
  <si>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</si>
  <si>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</si>
  <si>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</si>
  <si>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</si>
  <si>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</si>
  <si>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</si>
  <si>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</si>
  <si>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</si>
  <si>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</si>
  <si>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</si>
  <si>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</si>
  <si>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</si>
  <si>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</si>
  <si>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</si>
  <si>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</si>
  <si>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</si>
  <si>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</si>
  <si>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</si>
  <si>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</si>
  <si>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</si>
  <si>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</si>
  <si>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</si>
  <si>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</si>
  <si>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</si>
  <si>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</si>
  <si>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</si>
  <si>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</si>
  <si>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</si>
  <si>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</si>
  <si>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</si>
  <si>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</si>
  <si>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</si>
  <si>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</si>
  <si>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</si>
  <si>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</si>
  <si>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</si>
  <si>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</si>
  <si>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</si>
  <si>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</si>
  <si>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</si>
  <si>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</si>
  <si>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</si>
  <si>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</si>
  <si>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</si>
  <si>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</si>
  <si>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</si>
  <si>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</si>
  <si>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</si>
  <si>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</si>
  <si>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</si>
  <si>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</si>
  <si>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</si>
  <si>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</si>
  <si>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</si>
  <si>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</si>
  <si>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</si>
  <si>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</si>
  <si>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</si>
  <si>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</si>
  <si>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</si>
  <si>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</si>
  <si>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</si>
  <si>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</si>
  <si>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</si>
  <si>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</si>
  <si>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</si>
  <si>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</si>
  <si>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</si>
  <si>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</si>
  <si>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</si>
  <si>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</si>
  <si>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</si>
  <si>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</si>
  <si>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</si>
  <si>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</si>
  <si>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</si>
  <si>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</si>
  <si>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</si>
  <si>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</si>
  <si>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</si>
  <si>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</si>
  <si>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</si>
  <si>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</si>
  <si>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</si>
  <si>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</si>
  <si>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</si>
  <si>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</si>
  <si>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</si>
  <si>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</si>
  <si>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</si>
  <si>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</si>
  <si>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</si>
  <si>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</si>
  <si>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</si>
  <si>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</si>
  <si>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</si>
  <si>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</si>
  <si>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</si>
  <si>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</si>
  <si>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</si>
  <si>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</si>
  <si>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</si>
  <si>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</si>
  <si>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</si>
  <si>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</si>
  <si>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</si>
  <si>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</si>
  <si>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</si>
  <si>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</si>
  <si>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</si>
  <si>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</si>
  <si>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</si>
  <si>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</si>
  <si>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</si>
  <si>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</si>
  <si>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</si>
  <si>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</si>
  <si>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</si>
  <si>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</si>
  <si>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</si>
  <si>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</si>
  <si>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</si>
  <si>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</si>
  <si>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</si>
  <si>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</si>
  <si>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</si>
  <si>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</si>
  <si>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</si>
  <si>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</si>
  <si>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</si>
  <si>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</si>
  <si>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</si>
  <si>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</si>
  <si>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</si>
  <si>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</si>
  <si>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</si>
  <si>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</si>
  <si>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</si>
  <si>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</si>
  <si>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</si>
  <si>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</si>
  <si>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</si>
  <si>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</si>
  <si>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</si>
  <si>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</si>
  <si>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</si>
  <si>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</si>
  <si>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</si>
  <si>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</si>
  <si>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</si>
  <si>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</si>
  <si>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</si>
  <si>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</si>
  <si>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</si>
  <si>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</si>
  <si>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</si>
  <si>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</si>
  <si>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</si>
  <si>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</si>
  <si>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</si>
  <si>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</si>
  <si>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</si>
  <si>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</si>
  <si>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</si>
  <si>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</si>
  <si>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</si>
  <si>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</si>
  <si>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</si>
  <si>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</si>
  <si>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</si>
  <si>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</si>
  <si>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</si>
  <si>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</si>
  <si>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</si>
  <si>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</si>
  <si>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</si>
  <si>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</si>
  <si>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</si>
  <si>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</si>
  <si>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</si>
  <si>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</si>
  <si>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</si>
  <si>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</si>
  <si>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</si>
  <si>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</si>
  <si>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</si>
  <si>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</si>
  <si>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</si>
  <si>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</si>
  <si>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</si>
  <si>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</si>
  <si>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</si>
  <si>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</si>
  <si>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</si>
  <si>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</si>
  <si>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</si>
  <si>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</si>
  <si>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</si>
  <si>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</si>
  <si>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</si>
  <si>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</si>
  <si>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</si>
  <si>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</si>
  <si>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</si>
  <si>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</si>
  <si>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</si>
  <si>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</si>
  <si>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</si>
  <si>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</si>
  <si>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</si>
  <si>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</si>
  <si>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</si>
  <si>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</si>
  <si>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</si>
  <si>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</si>
  <si>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</si>
  <si>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</si>
  <si>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</si>
  <si>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</si>
  <si>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</si>
  <si>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</si>
  <si>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</si>
  <si>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</si>
  <si>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</si>
  <si>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</si>
  <si>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</si>
  <si>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</si>
  <si>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</si>
  <si>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</si>
  <si>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</si>
  <si>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</si>
  <si>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</si>
  <si>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</si>
  <si>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</si>
  <si>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</si>
  <si>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</si>
  <si>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</si>
  <si>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</si>
  <si>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</si>
  <si>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</si>
  <si>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</si>
  <si>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</si>
  <si>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</si>
  <si>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</si>
  <si>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</si>
  <si>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</si>
  <si>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</si>
  <si>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</si>
  <si>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</si>
  <si>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</si>
  <si>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</si>
  <si>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</si>
  <si>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</si>
  <si>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</si>
  <si>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</si>
  <si>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</si>
  <si>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</si>
  <si>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</si>
  <si>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</si>
  <si>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</si>
  <si>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</si>
  <si>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</si>
  <si>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</si>
  <si>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</si>
  <si>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</si>
  <si>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</si>
  <si>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</si>
  <si>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</si>
  <si>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</si>
  <si>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</si>
  <si>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</si>
  <si>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</si>
  <si>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</si>
  <si>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</si>
  <si>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</si>
  <si>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</si>
  <si>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</si>
  <si>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</si>
  <si>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</si>
  <si>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</si>
  <si>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</si>
  <si>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</si>
  <si>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</si>
  <si>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</si>
  <si>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</si>
  <si>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</si>
  <si>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</si>
  <si>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</si>
  <si>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</si>
  <si>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</si>
  <si>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</si>
  <si>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</si>
  <si>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</si>
  <si>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</si>
  <si>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</si>
  <si>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</si>
  <si>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</si>
  <si>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</si>
  <si>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</si>
  <si>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</si>
  <si>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</si>
  <si>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</si>
  <si>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</si>
  <si>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</si>
  <si>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</si>
  <si>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</si>
  <si>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</si>
  <si>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</si>
  <si>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</si>
  <si>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</si>
  <si>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</si>
  <si>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</si>
  <si>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</si>
  <si>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</si>
  <si>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</si>
  <si>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</si>
  <si>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</si>
  <si>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</si>
  <si>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</si>
  <si>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</si>
  <si>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</si>
  <si>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</si>
  <si>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</si>
  <si>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</si>
  <si>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</si>
  <si>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</si>
  <si>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</si>
  <si>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</si>
  <si>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</si>
  <si>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</si>
  <si>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</si>
  <si>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</si>
  <si>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</si>
  <si>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</si>
  <si>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</si>
  <si>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</si>
  <si>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</si>
  <si>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</si>
  <si>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</si>
  <si>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</si>
  <si>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</si>
  <si>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</si>
  <si>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</si>
  <si>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</si>
  <si>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</si>
  <si>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</si>
  <si>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</si>
  <si>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</si>
  <si>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</si>
  <si>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</si>
  <si>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</si>
  <si>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</si>
  <si>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</si>
  <si>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</si>
  <si>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</si>
  <si>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</si>
  <si>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</si>
  <si>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</si>
  <si>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</si>
  <si>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</si>
  <si>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</si>
  <si>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</si>
  <si>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</si>
  <si>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</si>
  <si>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</si>
  <si>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</si>
  <si>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</si>
  <si>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</si>
  <si>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</si>
  <si>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</si>
  <si>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</si>
  <si>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</si>
  <si>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</si>
  <si>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</si>
  <si>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</si>
  <si>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</si>
  <si>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</si>
  <si>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</si>
  <si>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</si>
  <si>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</si>
  <si>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</si>
  <si>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</si>
  <si>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</si>
  <si>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</si>
  <si>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</si>
  <si>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</si>
  <si>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</si>
  <si>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</si>
  <si>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</si>
  <si>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</si>
  <si>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</si>
  <si>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</si>
  <si>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</si>
  <si>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</si>
  <si>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</si>
  <si>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</si>
  <si>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</si>
  <si>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</si>
  <si>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</si>
  <si>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</si>
  <si>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</si>
  <si>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</si>
  <si>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</si>
  <si>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</si>
  <si>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</si>
  <si>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</si>
  <si>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</si>
  <si>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</si>
  <si>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</si>
  <si>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</si>
  <si>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</si>
  <si>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</si>
  <si>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</si>
  <si>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</si>
  <si>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</si>
  <si>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</si>
  <si>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</si>
  <si>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</si>
  <si>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</si>
  <si>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</si>
  <si>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</si>
  <si>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</si>
  <si>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</si>
  <si>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</si>
  <si>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</si>
  <si>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</si>
  <si>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</si>
  <si>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</si>
  <si>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</si>
  <si>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</si>
  <si>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</si>
  <si>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</si>
  <si>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</si>
  <si>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</si>
  <si>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</si>
  <si>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</si>
  <si>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</si>
  <si>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</si>
  <si>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</si>
  <si>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</si>
  <si>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</si>
  <si>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</si>
  <si>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</si>
  <si>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</si>
  <si>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</si>
  <si>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</si>
  <si>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</si>
  <si>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</si>
  <si>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</si>
  <si>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</si>
  <si>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</si>
  <si>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</si>
  <si>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</si>
  <si>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</si>
  <si>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</si>
  <si>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</si>
  <si>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</si>
  <si>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</si>
  <si>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</si>
  <si>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</si>
  <si>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</si>
  <si>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</si>
  <si>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</si>
  <si>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</si>
  <si>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</si>
  <si>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</si>
  <si>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</si>
  <si>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</si>
  <si>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</si>
  <si>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</si>
  <si>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</si>
  <si>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</si>
  <si>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</si>
  <si>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</si>
  <si>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</si>
  <si>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</si>
  <si>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</si>
  <si>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</si>
  <si>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</si>
  <si>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</si>
  <si>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</si>
  <si>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</si>
  <si>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</si>
  <si>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</si>
  <si>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</si>
  <si>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</si>
  <si>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</si>
  <si>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</si>
  <si>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</si>
  <si>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</si>
  <si>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</si>
  <si>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</si>
  <si>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</si>
  <si>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</si>
  <si>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</si>
  <si>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</si>
  <si>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</si>
  <si>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</si>
  <si>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</si>
  <si>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</si>
  <si>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</si>
  <si>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</si>
  <si>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</si>
  <si>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</si>
  <si>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</si>
  <si>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</si>
  <si>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</si>
  <si>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</si>
  <si>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</si>
  <si>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</si>
  <si>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</si>
  <si>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</si>
  <si>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</si>
  <si>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</si>
  <si>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</si>
  <si>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</si>
  <si>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</si>
  <si>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</si>
  <si>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</si>
  <si>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</si>
  <si>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</si>
  <si>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</si>
  <si>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</si>
  <si>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</si>
  <si>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</si>
  <si>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</si>
  <si>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</si>
  <si>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</si>
  <si>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</si>
  <si>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</si>
  <si>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</si>
  <si>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</si>
  <si>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</si>
  <si>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</si>
  <si>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</si>
  <si>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</si>
  <si>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</si>
  <si>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</si>
  <si>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</si>
  <si>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</si>
  <si>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</si>
  <si>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</si>
  <si>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</si>
  <si>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</si>
  <si>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</si>
  <si>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</si>
  <si>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</si>
  <si>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</si>
  <si>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</si>
  <si>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</si>
  <si>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</si>
  <si>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</si>
  <si>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</si>
  <si>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</si>
  <si>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</si>
  <si>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</si>
  <si>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</si>
  <si>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</si>
  <si>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</si>
  <si>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</si>
  <si>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</si>
  <si>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</si>
  <si>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</si>
  <si>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</si>
  <si>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</si>
  <si>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</si>
  <si>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</si>
  <si>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</si>
  <si>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</si>
  <si>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</si>
  <si>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</si>
  <si>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</si>
  <si>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</si>
  <si>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</si>
  <si>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</si>
  <si>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</si>
  <si>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</si>
  <si>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</si>
  <si>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</si>
  <si>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</si>
  <si>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</si>
  <si>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</si>
  <si>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</si>
  <si>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</si>
  <si>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</si>
  <si>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</si>
  <si>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</si>
  <si>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</si>
  <si>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</si>
  <si>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</si>
  <si>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</si>
  <si>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</si>
  <si>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</si>
  <si>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</si>
  <si>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</si>
  <si>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</si>
  <si>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</si>
  <si>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</si>
  <si>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</si>
  <si>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</si>
  <si>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</si>
  <si>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</si>
  <si>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</si>
  <si>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</si>
  <si>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</si>
  <si>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</si>
  <si>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</si>
  <si>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</si>
  <si>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</si>
  <si>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</si>
  <si>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</si>
  <si>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</si>
  <si>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</si>
  <si>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</si>
  <si>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</si>
  <si>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</si>
  <si>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</si>
  <si>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</si>
  <si>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</si>
  <si>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</si>
  <si>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</si>
  <si>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</si>
  <si>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</si>
  <si>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</si>
  <si>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</si>
  <si>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</si>
  <si>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</si>
  <si>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</si>
  <si>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</si>
  <si>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</si>
  <si>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</si>
  <si>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</si>
  <si>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</si>
  <si>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</si>
  <si>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</si>
  <si>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</si>
  <si>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</si>
  <si>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</si>
  <si>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</si>
  <si>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</si>
  <si>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</si>
  <si>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</si>
  <si>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</si>
  <si>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</si>
  <si>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</si>
  <si>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</si>
  <si>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</si>
  <si>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</si>
  <si>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</si>
  <si>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</si>
  <si>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</si>
  <si>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</si>
  <si>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</si>
  <si>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</si>
  <si>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</si>
  <si>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</si>
  <si>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</si>
  <si>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</si>
  <si>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</si>
  <si>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</si>
  <si>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</si>
  <si>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</si>
  <si>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</si>
  <si>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</si>
  <si>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</si>
  <si>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</si>
  <si>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</si>
  <si>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</si>
  <si>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</si>
  <si>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</si>
  <si>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</si>
  <si>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</si>
  <si>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</si>
  <si>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</si>
  <si>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</si>
  <si>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</si>
  <si>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</si>
  <si>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</si>
  <si>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</si>
  <si>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</si>
  <si>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</si>
  <si>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</si>
  <si>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</si>
  <si>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</si>
  <si>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</si>
  <si>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</si>
  <si>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</si>
  <si>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</si>
  <si>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</si>
  <si>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</si>
  <si>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</si>
  <si>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</si>
  <si>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</si>
  <si>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</si>
  <si>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</si>
  <si>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</si>
  <si>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</si>
  <si>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</si>
  <si>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</si>
  <si>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</si>
  <si>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</si>
  <si>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</si>
  <si>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</si>
  <si>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</si>
  <si>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</si>
  <si>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</si>
  <si>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</si>
  <si>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</si>
  <si>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</si>
  <si>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</si>
  <si>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</si>
  <si>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</si>
  <si>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</si>
  <si>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</si>
  <si>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</si>
  <si>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</si>
  <si>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</si>
  <si>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</si>
  <si>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</si>
  <si>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</si>
  <si>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</si>
  <si>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</si>
  <si>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</si>
  <si>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</si>
  <si>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</si>
  <si>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</si>
  <si>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</si>
  <si>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</si>
  <si>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</si>
  <si>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</si>
  <si>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</si>
  <si>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</si>
  <si>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</si>
  <si>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</si>
  <si>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</si>
  <si>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</si>
  <si>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</si>
  <si>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</si>
  <si>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</si>
  <si>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</si>
  <si>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</si>
  <si>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</si>
  <si>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</si>
  <si>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</si>
  <si>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</si>
  <si>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</si>
  <si>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</si>
  <si>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</si>
  <si>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</si>
  <si>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</si>
  <si>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</si>
  <si>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</si>
  <si>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</si>
  <si>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</si>
  <si>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</si>
  <si>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</si>
  <si>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</si>
  <si>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</si>
  <si>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</si>
  <si>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</si>
  <si>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</si>
  <si>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</si>
  <si>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</si>
  <si>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</si>
  <si>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</si>
  <si>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</si>
  <si>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</si>
  <si>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</si>
  <si>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</si>
  <si>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</si>
  <si>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</si>
  <si>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</si>
  <si>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</si>
  <si>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</si>
  <si>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</si>
  <si>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</si>
  <si>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</si>
  <si>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</si>
  <si>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</si>
  <si>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</si>
  <si>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</si>
  <si>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</si>
  <si>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</si>
  <si>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</si>
  <si>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</si>
  <si>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</si>
  <si>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</si>
  <si>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</si>
  <si>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</si>
  <si>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</si>
  <si>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</si>
  <si>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</si>
  <si>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</si>
  <si>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</si>
  <si>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</si>
  <si>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</si>
  <si>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</si>
  <si>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</si>
  <si>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</si>
  <si>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</si>
  <si>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</si>
  <si>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</si>
  <si>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</si>
  <si>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</si>
  <si>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</si>
  <si>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</si>
  <si>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</si>
  <si>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</si>
  <si>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</si>
  <si>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</si>
  <si>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</si>
  <si>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</si>
  <si>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</si>
  <si>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</si>
  <si>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</si>
  <si>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</si>
  <si>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</si>
  <si>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</si>
  <si>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</si>
  <si>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</si>
  <si>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</si>
  <si>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</si>
  <si>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</si>
  <si>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</si>
  <si>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</si>
  <si>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</si>
  <si>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</si>
  <si>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</si>
  <si>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</si>
  <si>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</si>
  <si>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</si>
  <si>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</si>
  <si>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</si>
  <si>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</si>
  <si>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</si>
  <si>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</si>
  <si>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</si>
  <si>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</si>
  <si>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</si>
  <si>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</si>
  <si>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</si>
  <si>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</si>
  <si>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</si>
  <si>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</si>
  <si>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</si>
  <si>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</si>
  <si>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</si>
  <si>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</si>
  <si>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</si>
  <si>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</si>
  <si>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</si>
  <si>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</si>
  <si>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</si>
  <si>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</si>
  <si>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</si>
  <si>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</si>
  <si>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</si>
  <si>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</si>
  <si>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</si>
  <si>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</si>
  <si>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</si>
  <si>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</si>
  <si>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</si>
  <si>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</si>
  <si>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</si>
  <si>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</si>
  <si>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</si>
  <si>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</si>
  <si>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</si>
  <si>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</si>
  <si>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</si>
  <si>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</si>
  <si>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</si>
  <si>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</si>
  <si>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</si>
  <si>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</si>
  <si>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</si>
  <si>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</si>
  <si>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</si>
  <si>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</si>
  <si>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</si>
  <si>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</si>
  <si>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</si>
  <si>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</si>
  <si>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</si>
  <si>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</si>
  <si>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</si>
  <si>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</si>
  <si>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</si>
  <si>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</si>
  <si>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</si>
  <si>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</si>
  <si>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</si>
  <si>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</si>
  <si>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</si>
  <si>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</si>
  <si>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</si>
  <si>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</si>
  <si>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</si>
  <si>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</si>
  <si>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</si>
  <si>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</si>
  <si>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</si>
  <si>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</si>
  <si>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</si>
  <si>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</si>
  <si>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</si>
  <si>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</si>
  <si>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</si>
  <si>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</si>
  <si>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</si>
  <si>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</si>
  <si>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</si>
  <si>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</si>
  <si>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</si>
  <si>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</si>
  <si>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</si>
  <si>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</si>
  <si>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</si>
  <si>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</si>
  <si>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</si>
  <si>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</si>
  <si>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</si>
  <si>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</si>
  <si>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</si>
  <si>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</si>
  <si>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</si>
  <si>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</si>
  <si>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</si>
  <si>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</si>
  <si>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</si>
  <si>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</si>
  <si>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</si>
  <si>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</si>
  <si>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</si>
  <si>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</si>
  <si>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</si>
  <si>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</si>
  <si>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</si>
  <si>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</si>
  <si>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</si>
  <si>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</si>
  <si>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</si>
  <si>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</si>
  <si>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</si>
  <si>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</si>
  <si>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</si>
  <si>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</si>
  <si>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</si>
  <si>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</si>
  <si>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</si>
  <si>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</si>
  <si>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</si>
  <si>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</si>
  <si>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</si>
  <si>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</si>
  <si>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</si>
  <si>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</si>
  <si>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</si>
  <si>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</si>
  <si>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</si>
  <si>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</si>
  <si>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</si>
  <si>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</si>
  <si>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</si>
  <si>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</si>
  <si>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</si>
  <si>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</si>
  <si>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</si>
  <si>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</si>
  <si>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</si>
  <si>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</si>
  <si>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</si>
  <si>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</si>
  <si>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</si>
  <si>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</si>
  <si>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</si>
  <si>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</si>
  <si>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</si>
  <si>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</si>
  <si>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</si>
  <si>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</si>
  <si>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</si>
  <si>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</si>
  <si>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</si>
  <si>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</si>
  <si>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</si>
  <si>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</si>
  <si>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</si>
  <si>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</si>
  <si>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</si>
  <si>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</si>
  <si>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</si>
  <si>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</si>
  <si>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</si>
  <si>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</si>
  <si>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</si>
  <si>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</si>
  <si>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</si>
  <si>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</si>
  <si>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</si>
  <si>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</si>
  <si>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</si>
  <si>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</si>
  <si>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</si>
  <si>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</si>
  <si>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</si>
  <si>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</si>
  <si>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</si>
  <si>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</si>
  <si>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</si>
  <si>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</si>
  <si>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</si>
  <si>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</si>
  <si>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</si>
  <si>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</si>
  <si>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</si>
  <si>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</si>
  <si>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</si>
  <si>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</si>
  <si>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</si>
  <si>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</si>
  <si>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</si>
  <si>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</si>
  <si>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</si>
  <si>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</si>
  <si>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</si>
  <si>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</si>
  <si>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</si>
  <si>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</si>
  <si>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</si>
  <si>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</si>
  <si>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</si>
  <si>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</si>
  <si>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</si>
  <si>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</si>
  <si>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</si>
  <si>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</si>
  <si>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</si>
  <si>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</si>
  <si>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</si>
  <si>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</si>
  <si>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</si>
  <si>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</si>
  <si>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</si>
  <si>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</si>
  <si>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</si>
  <si>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</si>
  <si>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</si>
  <si>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</si>
  <si>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</si>
  <si>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</si>
  <si>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</si>
  <si>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</si>
  <si>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</si>
  <si>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</si>
  <si>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</si>
  <si>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</si>
  <si>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</si>
  <si>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</si>
  <si>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</si>
  <si>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</si>
  <si>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</si>
  <si>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</si>
  <si>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</si>
  <si>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</si>
  <si>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</si>
  <si>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</si>
  <si>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</si>
  <si>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</si>
  <si>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</si>
  <si>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</si>
  <si>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</si>
  <si>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</si>
  <si>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</si>
  <si>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</si>
  <si>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</si>
  <si>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</si>
  <si>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</si>
  <si>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</si>
  <si>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</si>
  <si>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</si>
  <si>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</si>
  <si>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</si>
  <si>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</si>
  <si>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</si>
  <si>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</si>
  <si>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</si>
  <si>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</si>
  <si>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</si>
  <si>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</si>
  <si>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</si>
  <si>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</si>
  <si>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</si>
  <si>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</si>
  <si>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</si>
  <si>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</si>
  <si>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</si>
  <si>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</si>
  <si>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</si>
  <si>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</si>
  <si>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</si>
  <si>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</si>
  <si>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</si>
  <si>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</si>
  <si>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</si>
  <si>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</si>
  <si>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</si>
  <si>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</si>
  <si>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</si>
  <si>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</si>
  <si>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</si>
  <si>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</si>
  <si>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</si>
  <si>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</si>
  <si>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</si>
  <si>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</si>
  <si>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</si>
  <si>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</si>
  <si>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</si>
  <si>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</si>
  <si>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</si>
  <si>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</si>
  <si>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</si>
  <si>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</si>
  <si>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</si>
  <si>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</si>
  <si>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</si>
  <si>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</si>
  <si>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</si>
  <si>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</si>
  <si>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</si>
  <si>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</si>
  <si>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</si>
  <si>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</si>
  <si>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</si>
  <si>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</si>
  <si>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</si>
  <si>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</si>
  <si>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</si>
  <si>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</si>
  <si>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</si>
  <si>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</si>
  <si>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</si>
  <si>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</si>
  <si>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</si>
  <si>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</si>
  <si>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</si>
  <si>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</si>
  <si>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</si>
  <si>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</si>
  <si>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</si>
  <si>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</si>
  <si>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</si>
  <si>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</si>
  <si>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</si>
  <si>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</si>
  <si>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</si>
  <si>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</si>
  <si>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</si>
  <si>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</si>
  <si>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</si>
  <si>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</si>
  <si>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</si>
  <si>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</si>
  <si>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</si>
  <si>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</si>
  <si>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</si>
  <si>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</si>
  <si>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</si>
  <si>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</si>
  <si>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</si>
  <si>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</si>
  <si>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</si>
  <si>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</si>
  <si>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</si>
  <si>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</si>
  <si>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</si>
  <si>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</si>
  <si>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</si>
  <si>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</si>
  <si>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</si>
  <si>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</si>
  <si>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</si>
  <si>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</si>
  <si>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</si>
  <si>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</si>
  <si>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</si>
  <si>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</si>
  <si>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</si>
  <si>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</si>
  <si>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</si>
  <si>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</si>
  <si>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</si>
  <si>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</si>
  <si>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</si>
  <si>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</si>
  <si>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</si>
  <si>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</si>
  <si>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</si>
  <si>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</si>
  <si>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</si>
  <si>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</si>
  <si>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</si>
  <si>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</si>
  <si>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</si>
  <si>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</si>
  <si>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</si>
  <si>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</si>
  <si>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</si>
  <si>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</si>
  <si>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</si>
  <si>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</si>
  <si>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</si>
  <si>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</si>
  <si>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</si>
  <si>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</si>
  <si>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</si>
  <si>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</si>
  <si>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</si>
  <si>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</si>
  <si>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</si>
  <si>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</si>
  <si>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</si>
  <si>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</si>
  <si>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</si>
  <si>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</si>
  <si>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</si>
  <si>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</si>
  <si>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</si>
  <si>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</si>
  <si>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</si>
  <si>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</si>
  <si>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</si>
  <si>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</si>
  <si>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</si>
  <si>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</si>
  <si>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</si>
  <si>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</si>
  <si>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</si>
  <si>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</si>
  <si>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</si>
  <si>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</si>
  <si>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</si>
  <si>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</si>
  <si>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</si>
  <si>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</si>
  <si>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</si>
  <si>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</si>
  <si>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</si>
  <si>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</si>
  <si>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</si>
  <si>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</si>
  <si>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</si>
  <si>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</si>
  <si>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</si>
  <si>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</si>
  <si>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</si>
  <si>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</si>
  <si>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</si>
  <si>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</si>
  <si>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</si>
  <si>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</si>
  <si>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</si>
  <si>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</si>
  <si>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</si>
  <si>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</si>
  <si>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</si>
  <si>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</si>
  <si>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</si>
  <si>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</si>
  <si>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</si>
  <si>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</si>
  <si>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</si>
  <si>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</si>
  <si>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</si>
  <si>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</si>
  <si>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</si>
  <si>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</si>
  <si>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</si>
  <si>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</si>
  <si>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</si>
  <si>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</si>
  <si>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</si>
  <si>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</si>
  <si>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</si>
  <si>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</si>
  <si>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</si>
  <si>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</si>
  <si>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</si>
  <si>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</si>
  <si>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</si>
  <si>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</si>
  <si>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</si>
  <si>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</si>
  <si>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</si>
  <si>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</si>
  <si>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</si>
  <si>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</si>
  <si>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</si>
  <si>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</si>
  <si>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</si>
  <si>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</si>
  <si>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</si>
  <si>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</si>
  <si>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</si>
  <si>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</si>
  <si>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</si>
  <si>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</si>
  <si>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</si>
  <si>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</si>
  <si>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</si>
  <si>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</si>
  <si>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</si>
  <si>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</si>
  <si>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</si>
  <si>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</si>
  <si>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</si>
  <si>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</si>
  <si>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</si>
  <si>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</si>
  <si>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</si>
  <si>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</si>
  <si>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</si>
  <si>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</si>
  <si>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</si>
  <si>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</si>
  <si>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</si>
  <si>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</si>
  <si>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</si>
  <si>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</si>
  <si>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</si>
  <si>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</si>
  <si>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</si>
  <si>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</si>
  <si>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</si>
  <si>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</si>
  <si>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</si>
  <si>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</si>
  <si>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</si>
  <si>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</si>
  <si>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</si>
  <si>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</si>
  <si>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</si>
  <si>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</si>
  <si>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</si>
  <si>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</si>
  <si>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</si>
  <si>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</si>
  <si>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</si>
  <si>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</si>
  <si>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</si>
  <si>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</si>
  <si>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</si>
  <si>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</si>
  <si>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</si>
  <si>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</si>
  <si>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</si>
  <si>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</si>
  <si>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</si>
  <si>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</si>
  <si>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</si>
  <si>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</si>
  <si>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</si>
  <si>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</si>
  <si>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</si>
  <si>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</si>
  <si>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</si>
  <si>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</si>
  <si>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</si>
  <si>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</si>
  <si>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</si>
  <si>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</si>
  <si>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</si>
  <si>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</si>
  <si>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</si>
  <si>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</si>
  <si>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</si>
  <si>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</si>
  <si>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</si>
  <si>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</si>
  <si>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</si>
  <si>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</si>
  <si>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</si>
  <si>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</si>
  <si>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</si>
  <si>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</si>
  <si>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</si>
  <si>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</si>
  <si>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</si>
  <si>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</si>
  <si>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</si>
  <si>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</si>
  <si>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</si>
  <si>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</si>
  <si>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</si>
  <si>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</si>
  <si>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</si>
  <si>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</si>
  <si>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</si>
  <si>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</si>
  <si>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</si>
  <si>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</si>
  <si>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</si>
  <si>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</si>
  <si>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</si>
  <si>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</si>
  <si>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</si>
  <si>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</si>
  <si>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</si>
  <si>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</si>
  <si>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</si>
  <si>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</si>
  <si>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</si>
  <si>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</si>
  <si>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</si>
  <si>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</si>
  <si>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</si>
  <si>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</si>
  <si>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</si>
  <si>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</si>
  <si>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</si>
  <si>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</si>
  <si>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</si>
  <si>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</si>
  <si>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</si>
  <si>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</si>
  <si>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</si>
  <si>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</si>
  <si>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</si>
  <si>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</si>
  <si>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</si>
  <si>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</si>
  <si>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</si>
  <si>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</si>
  <si>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</si>
  <si>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</si>
  <si>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</si>
  <si>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</si>
  <si>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</si>
  <si>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</si>
  <si>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</si>
  <si>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</si>
  <si>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</si>
  <si>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</si>
  <si>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</si>
  <si>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</si>
  <si>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</si>
  <si>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</si>
  <si>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</si>
  <si>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</si>
  <si>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</si>
  <si>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</si>
  <si>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</si>
  <si>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</si>
  <si>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</si>
  <si>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</si>
  <si>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</si>
  <si>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</si>
  <si>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</si>
  <si>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</si>
  <si>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</si>
  <si>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</si>
  <si>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</si>
  <si>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</si>
  <si>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</si>
  <si>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</si>
  <si>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</si>
  <si>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</si>
  <si>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</si>
  <si>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</si>
  <si>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</si>
  <si>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</si>
  <si>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</si>
  <si>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</si>
  <si>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</si>
  <si>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</si>
  <si>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</si>
  <si>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</si>
  <si>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</si>
  <si>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</si>
  <si>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</si>
  <si>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</si>
  <si>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</si>
  <si>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</si>
  <si>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</si>
  <si>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</si>
  <si>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</si>
  <si>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</si>
  <si>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</si>
  <si>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</si>
  <si>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</si>
  <si>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</si>
  <si>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</si>
  <si>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</si>
  <si>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</si>
  <si>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</si>
  <si>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</si>
  <si>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</si>
  <si>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</si>
  <si>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</si>
  <si>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</si>
  <si>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</si>
  <si>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</si>
  <si>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</si>
  <si>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</si>
  <si>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</si>
  <si>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</si>
  <si>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</si>
  <si>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</si>
  <si>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</si>
  <si>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</si>
  <si>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</si>
  <si>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</si>
  <si>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</si>
  <si>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</si>
  <si>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</si>
  <si>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</si>
  <si>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</si>
  <si>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</si>
  <si>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</si>
  <si>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</si>
  <si>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</si>
  <si>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</si>
  <si>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</si>
  <si>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</si>
  <si>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</si>
  <si>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</si>
  <si>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</si>
  <si>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</si>
  <si>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</si>
  <si>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</si>
  <si>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</si>
  <si>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</si>
  <si>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</si>
  <si>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</si>
  <si>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</si>
  <si>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</si>
  <si>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</si>
  <si>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</si>
  <si>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</si>
  <si>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</si>
  <si>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</si>
  <si>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</si>
  <si>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</si>
  <si>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</si>
  <si>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</si>
  <si>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</si>
  <si>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</si>
  <si>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</si>
  <si>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</si>
  <si>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</si>
  <si>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</si>
  <si>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</si>
  <si>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</si>
  <si>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</si>
  <si>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</si>
  <si>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</si>
  <si>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</si>
  <si>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</si>
  <si>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</si>
  <si>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</si>
  <si>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</si>
  <si>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</si>
  <si>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</si>
  <si>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</si>
  <si>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</si>
  <si>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</si>
  <si>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</si>
  <si>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</si>
  <si>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</si>
  <si>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</si>
  <si>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</si>
  <si>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</si>
  <si>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</si>
  <si>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</si>
  <si>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</si>
  <si>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</si>
  <si>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</si>
  <si>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</si>
  <si>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</si>
  <si>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</si>
  <si>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</si>
  <si>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</si>
  <si>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</si>
  <si>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</si>
  <si>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</si>
  <si>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</si>
  <si>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</si>
  <si>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</si>
  <si>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</si>
  <si>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</si>
  <si>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</si>
  <si>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</si>
  <si>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</si>
  <si>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</si>
  <si>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</si>
  <si>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</si>
  <si>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</si>
  <si>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</si>
  <si>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</si>
  <si>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</si>
  <si>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</si>
  <si>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</si>
  <si>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</si>
  <si>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</si>
  <si>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</si>
  <si>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</si>
  <si>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</si>
  <si>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</si>
  <si>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</si>
  <si>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</si>
  <si>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</si>
  <si>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</si>
  <si>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</si>
  <si>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</si>
  <si>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</si>
  <si>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</si>
  <si>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</si>
  <si>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</si>
  <si>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</si>
  <si>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</si>
  <si>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</si>
  <si>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</si>
  <si>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</si>
  <si>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</si>
  <si>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</si>
  <si>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</si>
  <si>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</si>
  <si>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</si>
  <si>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</si>
  <si>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</si>
  <si>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</si>
  <si>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</si>
  <si>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</si>
  <si>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</si>
  <si>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</si>
  <si>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</si>
  <si>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</si>
  <si>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</si>
  <si>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</si>
  <si>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</si>
  <si>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</si>
  <si>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</si>
  <si>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</si>
  <si>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</si>
  <si>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</si>
  <si>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</si>
  <si>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</si>
  <si>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</si>
  <si>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</si>
  <si>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</si>
  <si>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</si>
  <si>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</si>
  <si>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</si>
  <si>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</si>
  <si>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</si>
  <si>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</si>
  <si>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</si>
  <si>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</si>
  <si>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</si>
  <si>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</si>
  <si>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</si>
  <si>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</si>
  <si>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</si>
  <si>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</si>
  <si>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</si>
  <si>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</si>
  <si>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</si>
  <si>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</si>
  <si>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</si>
  <si>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</si>
  <si>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</si>
  <si>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</si>
  <si>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</si>
  <si>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</si>
  <si>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</si>
  <si>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</si>
  <si>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</si>
  <si>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</si>
  <si>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</si>
  <si>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</si>
  <si>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</si>
  <si>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</si>
  <si>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</si>
  <si>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</si>
  <si>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</si>
  <si>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</si>
  <si>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</si>
  <si>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</si>
  <si>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</si>
  <si>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</si>
  <si>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</si>
  <si>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</si>
  <si>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</si>
  <si>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</si>
  <si>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</si>
  <si>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</si>
  <si>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</si>
  <si>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</si>
  <si>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</si>
  <si>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</si>
  <si>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</si>
  <si>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</si>
  <si>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</si>
  <si>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</si>
  <si>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</si>
  <si>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</si>
  <si>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</si>
  <si>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</si>
  <si>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</si>
  <si>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</si>
  <si>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</si>
  <si>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</si>
  <si>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</si>
  <si>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</si>
  <si>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</si>
  <si>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</si>
  <si>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</si>
  <si>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</si>
  <si>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</si>
  <si>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</si>
  <si>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</si>
  <si>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</si>
  <si>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</si>
  <si>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</si>
  <si>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</si>
  <si>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</si>
  <si>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</si>
  <si>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</si>
  <si>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</si>
  <si>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</si>
  <si>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</si>
  <si>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</si>
  <si>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</si>
  <si>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</si>
  <si>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</si>
  <si>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</si>
  <si>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</si>
  <si>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</si>
  <si>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</si>
  <si>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</si>
  <si>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</si>
  <si>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</si>
  <si>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</si>
  <si>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</si>
  <si>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</si>
  <si>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</si>
  <si>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</si>
  <si>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</si>
  <si>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</si>
  <si>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</si>
  <si>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</si>
  <si>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</si>
  <si>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</si>
  <si>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</si>
  <si>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</si>
  <si>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</si>
  <si>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</si>
  <si>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</si>
  <si>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</si>
  <si>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</si>
  <si>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</si>
  <si>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</si>
  <si>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</si>
  <si>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</si>
  <si>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</si>
  <si>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</si>
  <si>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</si>
  <si>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</si>
  <si>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</si>
  <si>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</si>
  <si>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</si>
  <si>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</si>
  <si>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</si>
  <si>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</si>
  <si>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</si>
  <si>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</si>
  <si>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</si>
  <si>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</si>
  <si>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</si>
  <si>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</si>
  <si>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</si>
  <si>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</si>
  <si>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</si>
  <si>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</si>
  <si>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</si>
  <si>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</si>
  <si>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</si>
  <si>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</si>
  <si>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</si>
  <si>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</si>
  <si>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</si>
  <si>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</si>
  <si>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</si>
  <si>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</si>
  <si>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</si>
  <si>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</si>
  <si>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</si>
  <si>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</si>
  <si>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</si>
  <si>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</si>
  <si>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</si>
  <si>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</si>
  <si>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</si>
  <si>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</si>
  <si>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</si>
  <si>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</si>
  <si>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</si>
  <si>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</si>
  <si>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</si>
  <si>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</si>
  <si>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</si>
  <si>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</si>
  <si>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</si>
  <si>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</si>
  <si>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</si>
  <si>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</si>
  <si>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</si>
  <si>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</si>
  <si>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</si>
  <si>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</si>
  <si>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</si>
  <si>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</si>
  <si>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</si>
  <si>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</si>
  <si>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</si>
  <si>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</si>
  <si>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</si>
  <si>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</si>
  <si>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</si>
  <si>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</si>
  <si>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</si>
  <si>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</si>
  <si>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</si>
  <si>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</si>
  <si>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</si>
  <si>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</si>
  <si>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</si>
  <si>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</si>
  <si>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</si>
  <si>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</si>
  <si>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</si>
  <si>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</si>
  <si>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</si>
  <si>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</si>
  <si>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</si>
  <si>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</si>
  <si>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</si>
  <si>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</si>
  <si>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</si>
  <si>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</si>
  <si>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</si>
  <si>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</si>
  <si>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</si>
  <si>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</si>
  <si>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</si>
  <si>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</si>
  <si>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</si>
  <si>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</si>
  <si>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</si>
  <si>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</si>
  <si>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</si>
  <si>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</si>
  <si>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</si>
  <si>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</si>
  <si>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</si>
  <si>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</si>
  <si>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</si>
  <si>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</si>
  <si>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</si>
  <si>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</si>
  <si>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</si>
  <si>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</si>
  <si>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</si>
  <si>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</si>
  <si>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</si>
  <si>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</si>
  <si>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</si>
  <si>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</si>
  <si>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</si>
  <si>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</si>
  <si>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</si>
  <si>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</si>
  <si>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</si>
  <si>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</si>
  <si>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</si>
  <si>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</si>
  <si>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</si>
  <si>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</si>
  <si>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</si>
  <si>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</si>
  <si>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</si>
  <si>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</si>
  <si>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</si>
  <si>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</si>
  <si>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</si>
  <si>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</si>
  <si>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</si>
  <si>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</si>
  <si>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</si>
  <si>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</si>
  <si>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</si>
  <si>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</si>
  <si>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</si>
  <si>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</si>
  <si>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</si>
  <si>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</si>
  <si>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</si>
  <si>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</si>
  <si>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</si>
  <si>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</si>
  <si>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</si>
  <si>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</si>
  <si>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</si>
  <si>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</si>
  <si>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</si>
  <si>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</si>
  <si>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</si>
  <si>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</si>
  <si>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</si>
  <si>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</si>
  <si>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</si>
  <si>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</si>
  <si>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</si>
  <si>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</si>
  <si>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</si>
  <si>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</si>
  <si>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</si>
  <si>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</si>
  <si>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</si>
  <si>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</si>
  <si>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</si>
  <si>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</si>
  <si>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</si>
  <si>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</si>
  <si>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</si>
  <si>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</si>
  <si>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</si>
  <si>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</si>
  <si>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</si>
  <si>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</si>
  <si>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</si>
  <si>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</si>
  <si>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</si>
  <si>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</si>
  <si>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</si>
  <si>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</si>
  <si>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</si>
  <si>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</si>
  <si>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</si>
  <si>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</si>
  <si>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</si>
  <si>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</si>
  <si>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</si>
  <si>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</si>
  <si>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</si>
  <si>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</si>
  <si>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</si>
  <si>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</si>
  <si>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</si>
  <si>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</si>
  <si>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</si>
  <si>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</si>
  <si>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</si>
  <si>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</si>
  <si>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</si>
  <si>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</si>
  <si>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</si>
  <si>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</si>
  <si>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</si>
  <si>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</si>
  <si>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</si>
  <si>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</si>
  <si>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</si>
  <si>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</si>
  <si>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</si>
  <si>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</si>
  <si>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</si>
  <si>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</si>
  <si>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</si>
  <si>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</si>
  <si>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</si>
  <si>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</si>
  <si>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</si>
  <si>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</si>
  <si>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</si>
  <si>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</si>
  <si>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</si>
  <si>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</si>
  <si>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</si>
  <si>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</si>
  <si>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</si>
  <si>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</si>
  <si>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</si>
  <si>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</si>
  <si>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</si>
  <si>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</si>
  <si>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</si>
  <si>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</si>
  <si>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</si>
  <si>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</si>
  <si>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</si>
  <si>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</si>
  <si>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</si>
  <si>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</si>
  <si>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</si>
  <si>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</si>
  <si>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</si>
  <si>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</si>
  <si>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</si>
  <si>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</si>
  <si>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</si>
  <si>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</si>
  <si>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</si>
  <si>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</si>
  <si>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</si>
  <si>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</si>
  <si>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</si>
  <si>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</si>
  <si>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</si>
  <si>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</si>
  <si>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</si>
  <si>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</si>
  <si>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</si>
  <si>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</si>
  <si>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</si>
  <si>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</si>
  <si>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</si>
  <si>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</si>
  <si>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</si>
  <si>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</si>
  <si>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</si>
  <si>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</si>
  <si>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</si>
  <si>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</si>
  <si>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</si>
  <si>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</si>
  <si>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</si>
  <si>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</si>
  <si>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</si>
  <si>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</si>
  <si>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</si>
  <si>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</si>
  <si>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</si>
  <si>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</si>
  <si>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</si>
  <si>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</si>
  <si>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</si>
  <si>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</si>
  <si>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</si>
  <si>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</si>
  <si>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</si>
  <si>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</si>
  <si>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</si>
  <si>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</si>
  <si>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</si>
  <si>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</si>
  <si>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</si>
  <si>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</si>
  <si>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</si>
  <si>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</si>
  <si>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</si>
  <si>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</si>
  <si>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</si>
  <si>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</si>
  <si>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</si>
  <si>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</si>
  <si>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</si>
  <si>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</si>
  <si>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</si>
  <si>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</si>
  <si>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</si>
  <si>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</si>
  <si>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</si>
  <si>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</si>
  <si>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</si>
  <si>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</si>
  <si>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</si>
  <si>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</si>
  <si>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</si>
  <si>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</si>
  <si>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</si>
  <si>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</si>
  <si>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</si>
  <si>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</si>
  <si>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</si>
  <si>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</si>
  <si>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</si>
  <si>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</si>
  <si>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</si>
  <si>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</si>
  <si>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</si>
  <si>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</si>
  <si>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</si>
  <si>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</si>
  <si>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</si>
  <si>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</si>
  <si>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</si>
  <si>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</si>
  <si>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</si>
  <si>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</si>
  <si>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</si>
  <si>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</si>
  <si>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</si>
  <si>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</si>
  <si>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</si>
  <si>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</si>
  <si>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</si>
  <si>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</si>
  <si>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</si>
  <si>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</si>
  <si>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</si>
  <si>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</si>
  <si>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</si>
  <si>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</si>
  <si>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</si>
  <si>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</si>
  <si>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</si>
  <si>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</si>
  <si>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</si>
  <si>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</si>
  <si>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</si>
  <si>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</si>
  <si>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</si>
  <si>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</si>
  <si>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</si>
  <si>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</si>
  <si>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</si>
  <si>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</si>
  <si>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</si>
  <si>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</si>
  <si>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</si>
  <si>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</si>
  <si>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</si>
  <si>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</si>
  <si>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</si>
  <si>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</si>
  <si>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</si>
  <si>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</si>
  <si>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</si>
  <si>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</si>
  <si>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</si>
  <si>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</si>
  <si>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</si>
  <si>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</si>
  <si>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</si>
  <si>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</si>
  <si>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</si>
  <si>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</si>
  <si>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</si>
  <si>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</si>
  <si>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</si>
  <si>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</si>
  <si>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</si>
  <si>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</si>
  <si>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</si>
  <si>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</si>
  <si>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</si>
  <si>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</si>
  <si>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</si>
  <si>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</si>
  <si>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</si>
  <si>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</si>
  <si>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</si>
  <si>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</si>
  <si>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</si>
  <si>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</si>
  <si>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</si>
  <si>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</si>
  <si>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</si>
  <si>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</si>
  <si>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</si>
  <si>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</si>
  <si>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</si>
  <si>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</si>
  <si>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</si>
  <si>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</si>
  <si>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</si>
  <si>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</si>
  <si>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</si>
  <si>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</si>
  <si>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</si>
  <si>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</si>
  <si>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</si>
  <si>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</si>
  <si>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</si>
  <si>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</si>
  <si>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</si>
  <si>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</si>
  <si>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</si>
  <si>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</si>
  <si>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</si>
  <si>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</si>
  <si>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</si>
  <si>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</si>
  <si>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</si>
  <si>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</si>
  <si>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</si>
  <si>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</si>
  <si>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</si>
  <si>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</si>
  <si>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</si>
  <si>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</si>
  <si>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</si>
  <si>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</si>
  <si>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</si>
  <si>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</si>
  <si>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</si>
  <si>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</si>
  <si>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</si>
  <si>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</si>
  <si>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</si>
  <si>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</si>
  <si>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</si>
  <si>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</si>
  <si>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</si>
  <si>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</si>
  <si>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</si>
  <si>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</si>
  <si>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</si>
  <si>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</si>
  <si>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</si>
  <si>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</si>
  <si>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</si>
  <si>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</si>
  <si>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</si>
  <si>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</si>
  <si>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</si>
  <si>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</si>
  <si>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</si>
  <si>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</si>
  <si>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</si>
  <si>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</si>
  <si>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</si>
  <si>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</si>
  <si>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</si>
  <si>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</si>
  <si>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</si>
  <si>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</si>
  <si>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</si>
  <si>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</si>
  <si>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</si>
  <si>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</si>
  <si>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</si>
  <si>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</si>
  <si>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</si>
  <si>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</si>
  <si>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</si>
  <si>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</si>
  <si>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</si>
  <si>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</si>
  <si>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</si>
  <si>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</si>
  <si>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</si>
  <si>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</si>
  <si>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</si>
  <si>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</si>
  <si>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</si>
  <si>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</si>
  <si>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</si>
  <si>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</si>
  <si>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</si>
  <si>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</si>
  <si>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</si>
  <si>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</si>
  <si>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</si>
  <si>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</si>
  <si>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</si>
  <si>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</si>
  <si>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</si>
  <si>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</si>
  <si>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</si>
  <si>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</si>
  <si>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</si>
  <si>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</si>
  <si>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</si>
  <si>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</si>
  <si>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</si>
  <si>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</si>
  <si>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</si>
  <si>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</si>
  <si>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</si>
  <si>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</si>
  <si>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</si>
  <si>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</si>
  <si>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</si>
  <si>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</si>
  <si>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</si>
  <si>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</si>
  <si>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</si>
  <si>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</si>
  <si>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</si>
  <si>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</si>
  <si>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</si>
  <si>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</si>
  <si>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</si>
  <si>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</si>
  <si>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</si>
  <si>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</si>
  <si>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</si>
  <si>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</si>
  <si>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</si>
  <si>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</si>
  <si>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</si>
  <si>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</si>
  <si>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</si>
  <si>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</si>
  <si>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</si>
  <si>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</si>
  <si>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</si>
  <si>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</si>
  <si>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</si>
  <si>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</si>
  <si>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</si>
  <si>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</si>
  <si>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</si>
  <si>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</si>
  <si>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</si>
  <si>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</si>
  <si>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</si>
  <si>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</si>
  <si>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</si>
  <si>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</si>
  <si>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</si>
  <si>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</si>
  <si>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</si>
  <si>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</si>
  <si>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</si>
  <si>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</si>
  <si>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</si>
  <si>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</si>
  <si>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</si>
  <si>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</si>
  <si>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</si>
  <si>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</si>
  <si>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</si>
  <si>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</si>
  <si>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</si>
  <si>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</si>
  <si>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</si>
  <si>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</si>
  <si>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</si>
  <si>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</si>
  <si>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</si>
  <si>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</si>
  <si>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</si>
  <si>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</si>
  <si>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</si>
  <si>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</si>
  <si>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</si>
  <si>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</si>
  <si>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</si>
  <si>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</si>
  <si>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</si>
  <si>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</si>
  <si>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</si>
  <si>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</si>
  <si>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</si>
  <si>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</si>
  <si>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</si>
  <si>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</si>
  <si>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</si>
  <si>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</si>
  <si>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</si>
  <si>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</si>
  <si>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</si>
  <si>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</si>
  <si>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</si>
  <si>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</si>
  <si>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</si>
  <si>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</si>
  <si>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</si>
  <si>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</si>
  <si>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</si>
  <si>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</si>
  <si>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</si>
  <si>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</si>
  <si>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</si>
  <si>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</si>
  <si>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</si>
  <si>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</si>
  <si>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</si>
  <si>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</si>
  <si>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</si>
  <si>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</si>
  <si>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</si>
  <si>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</si>
  <si>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</si>
  <si>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</si>
  <si>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</si>
  <si>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</si>
  <si>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</si>
  <si>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</si>
  <si>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</si>
  <si>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</si>
  <si>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</si>
  <si>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</si>
  <si>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</si>
  <si>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</si>
  <si>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</si>
  <si>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</si>
  <si>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</si>
  <si>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</si>
  <si>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</si>
  <si>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</si>
  <si>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</si>
  <si>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</si>
  <si>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</si>
  <si>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</si>
  <si>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</si>
  <si>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</si>
  <si>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</si>
  <si>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</si>
  <si>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</si>
  <si>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</si>
  <si>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</si>
  <si>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</si>
  <si>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</si>
  <si>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</si>
  <si>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</si>
  <si>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</si>
  <si>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</si>
  <si>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</si>
  <si>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</si>
  <si>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</si>
  <si>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</si>
  <si>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</si>
  <si>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</si>
  <si>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</si>
  <si>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</si>
  <si>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</si>
  <si>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</si>
  <si>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</si>
  <si>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</si>
  <si>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</si>
  <si>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</si>
  <si>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</si>
  <si>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</si>
  <si>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</si>
  <si>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</si>
  <si>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</si>
  <si>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</si>
  <si>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</si>
  <si>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</si>
  <si>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</si>
  <si>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</si>
  <si>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</si>
  <si>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</si>
  <si>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</si>
  <si>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</si>
  <si>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</si>
  <si>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</si>
  <si>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</si>
  <si>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</si>
  <si>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</si>
  <si>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</si>
  <si>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</si>
  <si>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</si>
  <si>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</si>
  <si>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</si>
  <si>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</si>
  <si>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</si>
  <si>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</si>
  <si>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</si>
  <si>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</si>
  <si>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</si>
  <si>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</si>
  <si>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</si>
  <si>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</si>
  <si>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</si>
  <si>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</si>
  <si>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</si>
  <si>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</si>
  <si>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</si>
  <si>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</si>
  <si>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</si>
  <si>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</si>
  <si>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</si>
  <si>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</si>
  <si>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</si>
  <si>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</si>
  <si>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</si>
  <si>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</si>
  <si>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</si>
  <si>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</si>
  <si>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</si>
  <si>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</si>
  <si>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</si>
  <si>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</si>
  <si>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</si>
  <si>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</si>
  <si>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</si>
  <si>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</si>
  <si>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</si>
  <si>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</si>
  <si>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</si>
  <si>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</si>
  <si>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</si>
  <si>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</si>
  <si>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</si>
  <si>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</si>
  <si>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</si>
  <si>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</si>
  <si>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</si>
  <si>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</si>
  <si>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</si>
  <si>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</si>
  <si>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</si>
  <si>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</si>
  <si>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</si>
  <si>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</si>
  <si>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</si>
  <si>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</si>
  <si>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</si>
  <si>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</si>
  <si>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</si>
  <si>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</si>
  <si>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</si>
  <si>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</si>
  <si>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</si>
  <si>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</si>
  <si>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</si>
  <si>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</si>
  <si>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</si>
  <si>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</si>
  <si>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</si>
  <si>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</si>
  <si>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</si>
  <si>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</si>
  <si>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</si>
  <si>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</si>
  <si>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</si>
  <si>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</si>
  <si>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</si>
  <si>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</si>
  <si>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</si>
  <si>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</si>
  <si>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</si>
  <si>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</si>
  <si>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</si>
  <si>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</si>
  <si>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</si>
  <si>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</si>
  <si>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</si>
  <si>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</si>
  <si>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</si>
  <si>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</si>
  <si>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</si>
  <si>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</si>
  <si>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</si>
  <si>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</si>
  <si>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</si>
  <si>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</si>
  <si>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</si>
  <si>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</si>
  <si>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</si>
  <si>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</si>
  <si>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</si>
  <si>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</si>
  <si>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</si>
  <si>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</si>
  <si>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</si>
  <si>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</si>
  <si>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</si>
  <si>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</si>
  <si>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</si>
  <si>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</si>
  <si>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</si>
  <si>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</si>
  <si>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</si>
  <si>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</si>
  <si>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</si>
  <si>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</si>
  <si>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</si>
  <si>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</si>
  <si>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</si>
  <si>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</si>
  <si>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</si>
  <si>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</si>
  <si>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</si>
  <si>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</si>
  <si>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</si>
  <si>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</si>
  <si>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</si>
  <si>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</si>
  <si>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</si>
  <si>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</si>
  <si>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</si>
  <si>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</si>
  <si>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</si>
  <si>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</si>
  <si>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</si>
  <si>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</si>
  <si>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</si>
  <si>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</si>
  <si>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</si>
  <si>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</si>
  <si>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</si>
  <si>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</si>
  <si>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</si>
  <si>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</si>
  <si>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</si>
  <si>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</si>
  <si>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</si>
  <si>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</si>
  <si>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</si>
  <si>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</si>
  <si>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</si>
  <si>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</si>
  <si>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</si>
  <si>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</si>
  <si>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</si>
  <si>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</si>
  <si>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</si>
  <si>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</si>
  <si>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</si>
  <si>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</si>
  <si>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</si>
  <si>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</si>
  <si>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</si>
  <si>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</si>
  <si>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</si>
  <si>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</si>
  <si>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</si>
  <si>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</si>
  <si>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</si>
  <si>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</si>
  <si>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</si>
  <si>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</si>
  <si>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</si>
  <si>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</si>
  <si>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</si>
  <si>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</si>
  <si>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</si>
  <si>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</si>
  <si>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</si>
  <si>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</si>
  <si>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</si>
  <si>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</si>
  <si>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</si>
  <si>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</si>
  <si>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</si>
  <si>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</si>
  <si>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</si>
  <si>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</si>
  <si>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</si>
  <si>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</si>
  <si>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</si>
  <si>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</si>
  <si>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</si>
  <si>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</si>
  <si>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</si>
  <si>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</si>
  <si>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</si>
  <si>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</si>
  <si>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</si>
  <si>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</si>
  <si>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</si>
  <si>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</si>
  <si>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</si>
  <si>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</si>
  <si>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</si>
  <si>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</si>
  <si>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</si>
  <si>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</si>
  <si>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</si>
  <si>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</si>
  <si>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</si>
  <si>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</si>
  <si>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</si>
  <si>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</si>
  <si>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</si>
  <si>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</si>
  <si>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</si>
  <si>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</si>
  <si>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</si>
  <si>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</si>
  <si>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</si>
  <si>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</si>
  <si>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</si>
  <si>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</si>
  <si>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</si>
  <si>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</si>
  <si>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</si>
  <si>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</si>
  <si>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</si>
  <si>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</si>
  <si>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</si>
  <si>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</si>
  <si>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</si>
  <si>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</si>
  <si>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</si>
  <si>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</si>
  <si>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</si>
  <si>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</si>
  <si>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</si>
  <si>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</si>
  <si>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</si>
  <si>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</si>
  <si>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</si>
  <si>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</si>
  <si>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</si>
  <si>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</si>
  <si>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</si>
  <si>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</si>
  <si>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</si>
  <si>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</si>
  <si>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</si>
  <si>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</si>
  <si>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</si>
  <si>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</si>
  <si>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</si>
  <si>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</si>
  <si>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</si>
  <si>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</si>
  <si>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</si>
  <si>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</si>
  <si>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</si>
  <si>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</si>
  <si>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</si>
  <si>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</si>
  <si>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</si>
  <si>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</si>
  <si>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</si>
  <si>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</si>
  <si>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</si>
  <si>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</si>
  <si>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</si>
  <si>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</si>
  <si>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</si>
  <si>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</si>
  <si>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</si>
  <si>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</si>
  <si>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</si>
  <si>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</si>
  <si>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</si>
  <si>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</si>
  <si>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</si>
  <si>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</si>
  <si>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</si>
  <si>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</si>
  <si>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</si>
  <si>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</si>
  <si>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</si>
  <si>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</si>
  <si>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</si>
  <si>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</si>
  <si>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</si>
  <si>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</si>
  <si>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</si>
  <si>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</si>
  <si>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</si>
  <si>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</si>
  <si>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</si>
  <si>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</si>
  <si>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</si>
  <si>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</si>
  <si>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</si>
  <si>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</si>
  <si>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</si>
  <si>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</si>
  <si>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</si>
  <si>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</si>
  <si>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</si>
  <si>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</si>
  <si>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</si>
  <si>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</si>
  <si>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</si>
  <si>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</si>
  <si>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</si>
  <si>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</si>
  <si>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</si>
  <si>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</si>
  <si>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</si>
  <si>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</si>
  <si>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</si>
  <si>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</si>
  <si>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</si>
  <si>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</si>
  <si>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</si>
  <si>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</si>
  <si>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</si>
  <si>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</si>
  <si>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</si>
  <si>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</si>
  <si>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</si>
  <si>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</si>
  <si>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</si>
  <si>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</si>
  <si>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</si>
  <si>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</si>
  <si>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</si>
  <si>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</si>
  <si>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</si>
  <si>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</si>
  <si>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</si>
  <si>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</si>
  <si>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</si>
  <si>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</si>
  <si>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</si>
  <si>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</si>
  <si>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</si>
  <si>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</si>
  <si>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</si>
  <si>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</si>
  <si>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</si>
  <si>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</si>
  <si>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</si>
  <si>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</si>
  <si>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</si>
  <si>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</si>
  <si>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</si>
  <si>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</si>
  <si>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</si>
  <si>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</si>
  <si>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</si>
  <si>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</si>
  <si>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</si>
  <si>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</si>
  <si>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</si>
  <si>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</si>
  <si>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</si>
  <si>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</si>
  <si>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</si>
  <si>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</si>
  <si>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</si>
  <si>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</si>
  <si>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</si>
  <si>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</si>
  <si>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</si>
  <si>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</si>
  <si>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</si>
  <si>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</si>
  <si>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</si>
  <si>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</si>
  <si>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</si>
  <si>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</si>
  <si>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</si>
  <si>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</si>
  <si>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</si>
  <si>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</si>
  <si>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</si>
  <si>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</si>
  <si>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</si>
  <si>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</si>
  <si>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</si>
  <si>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</si>
  <si>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</si>
  <si>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</si>
  <si>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</si>
  <si>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</si>
  <si>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</si>
  <si>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</si>
  <si>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</si>
  <si>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</si>
  <si>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</si>
  <si>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</si>
  <si>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</si>
  <si>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</si>
  <si>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</si>
  <si>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</si>
  <si>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</si>
  <si>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</si>
  <si>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</si>
  <si>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</si>
  <si>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</si>
  <si>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</si>
  <si>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</si>
  <si>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</si>
  <si>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</si>
  <si>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</si>
  <si>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</si>
  <si>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</si>
  <si>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</si>
  <si>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</si>
  <si>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</si>
  <si>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</si>
  <si>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</si>
  <si>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</si>
  <si>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</si>
  <si>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</si>
  <si>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</si>
  <si>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</si>
  <si>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</si>
  <si>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</si>
  <si>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</si>
  <si>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</si>
  <si>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</si>
  <si>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</si>
  <si>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</si>
  <si>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</si>
  <si>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</si>
  <si>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</si>
  <si>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</si>
  <si>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</si>
  <si>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</si>
  <si>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</si>
  <si>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</si>
  <si>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</si>
  <si>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</si>
  <si>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</si>
  <si>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</si>
  <si>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</si>
  <si>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</si>
  <si>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</si>
  <si>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</si>
  <si>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</si>
  <si>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</si>
  <si>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</si>
  <si>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</si>
  <si>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</si>
  <si>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</si>
  <si>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</si>
  <si>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</si>
  <si>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</si>
  <si>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</si>
  <si>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</si>
  <si>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</si>
  <si>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</si>
  <si>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</si>
  <si>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</si>
  <si>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</si>
  <si>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</si>
  <si>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</si>
  <si>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</si>
  <si>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</si>
  <si>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</si>
  <si>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</si>
  <si>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</si>
  <si>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</si>
  <si>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</si>
  <si>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</si>
  <si>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</si>
  <si>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</si>
  <si>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</si>
  <si>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</si>
  <si>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</si>
  <si>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</si>
  <si>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</si>
  <si>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</si>
  <si>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</si>
  <si>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</si>
  <si>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</si>
  <si>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</si>
  <si>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</si>
  <si>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</si>
  <si>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</si>
  <si>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</si>
  <si>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</si>
  <si>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</si>
  <si>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</si>
  <si>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</si>
  <si>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</si>
  <si>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</si>
  <si>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</si>
  <si>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</si>
  <si>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</si>
  <si>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</si>
  <si>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</si>
  <si>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</si>
  <si>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</si>
  <si>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</si>
  <si>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</si>
  <si>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</si>
  <si>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</si>
  <si>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</si>
  <si>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</si>
  <si>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</si>
  <si>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</si>
  <si>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</si>
  <si>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</si>
  <si>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</si>
  <si>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</si>
  <si>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</si>
  <si>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</si>
  <si>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</si>
  <si>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</si>
  <si>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</si>
  <si>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</si>
  <si>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</si>
  <si>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</si>
  <si>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</si>
  <si>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</si>
  <si>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</si>
  <si>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</si>
  <si>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</si>
  <si>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</si>
  <si>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</si>
  <si>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</si>
  <si>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</si>
  <si>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</si>
  <si>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</si>
  <si>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</si>
  <si>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</si>
  <si>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</si>
  <si>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</si>
  <si>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</si>
  <si>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</si>
  <si>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</si>
  <si>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</si>
  <si>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</si>
  <si>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</si>
  <si>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</si>
  <si>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</si>
  <si>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</si>
  <si>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</si>
  <si>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</si>
  <si>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</si>
  <si>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</si>
  <si>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</si>
  <si>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</si>
  <si>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</si>
  <si>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</si>
  <si>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</si>
  <si>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</si>
  <si>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</si>
  <si>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</si>
  <si>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</si>
  <si>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</si>
  <si>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</si>
  <si>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</si>
  <si>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</si>
  <si>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</si>
  <si>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</si>
  <si>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</si>
  <si>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</si>
  <si>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</si>
  <si>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</si>
  <si>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</si>
  <si>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</si>
  <si>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</si>
  <si>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</si>
  <si>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</si>
  <si>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</si>
  <si>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</si>
  <si>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</si>
  <si>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</si>
  <si>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</si>
  <si>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</si>
  <si>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</si>
  <si>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</si>
  <si>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</si>
  <si>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</si>
  <si>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</si>
  <si>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</si>
  <si>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</si>
  <si>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</si>
  <si>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</si>
  <si>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</si>
  <si>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</si>
  <si>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</si>
  <si>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</si>
  <si>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</si>
  <si>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</si>
  <si>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</si>
  <si>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</si>
  <si>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</si>
  <si>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</si>
  <si>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</si>
  <si>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</si>
  <si>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</si>
  <si>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</si>
  <si>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</si>
  <si>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</si>
  <si>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</si>
  <si>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</si>
  <si>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</si>
  <si>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</si>
  <si>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</si>
  <si>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</si>
  <si>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</si>
  <si>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</si>
  <si>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</si>
  <si>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</si>
  <si>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</si>
  <si>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</si>
  <si>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</si>
  <si>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</si>
  <si>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</si>
  <si>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</si>
  <si>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</si>
  <si>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</si>
  <si>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</si>
  <si>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</si>
  <si>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</si>
  <si>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</si>
  <si>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</si>
  <si>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</si>
  <si>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</si>
  <si>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</si>
  <si>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</si>
  <si>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</si>
  <si>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</si>
  <si>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</si>
  <si>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</si>
  <si>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</si>
  <si>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</si>
  <si>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</si>
  <si>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</si>
  <si>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</si>
  <si>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</si>
  <si>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</si>
  <si>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</si>
  <si>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</si>
  <si>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</si>
  <si>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</si>
  <si>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</si>
  <si>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</si>
  <si>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</si>
  <si>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</si>
  <si>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</si>
  <si>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</si>
  <si>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</si>
  <si>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</si>
  <si>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</si>
  <si>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</si>
  <si>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</si>
  <si>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</si>
  <si>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</si>
  <si>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</si>
  <si>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</si>
  <si>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</si>
  <si>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</si>
  <si>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</si>
  <si>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</si>
  <si>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</si>
  <si>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</si>
  <si>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</si>
  <si>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</si>
  <si>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</si>
  <si>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</si>
  <si>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</si>
  <si>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</si>
  <si>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</si>
  <si>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</si>
  <si>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</si>
  <si>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</si>
  <si>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</si>
  <si>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</si>
  <si>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</si>
  <si>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</si>
  <si>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</si>
  <si>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</si>
  <si>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</si>
  <si>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</si>
  <si>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</si>
  <si>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</si>
  <si>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</si>
  <si>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</si>
  <si>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</si>
  <si>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</si>
  <si>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</si>
  <si>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</si>
  <si>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</si>
  <si>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</si>
  <si>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</si>
  <si>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</si>
  <si>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</si>
  <si>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</si>
  <si>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</si>
  <si>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</si>
  <si>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</si>
  <si>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</si>
  <si>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</si>
  <si>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</si>
  <si>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</si>
  <si>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</si>
  <si>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</si>
  <si>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</si>
  <si>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</si>
  <si>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</si>
  <si>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</si>
  <si>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</si>
  <si>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</si>
  <si>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</si>
  <si>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</si>
  <si>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</si>
  <si>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</si>
  <si>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</si>
  <si>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</si>
  <si>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</si>
  <si>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</si>
  <si>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</si>
  <si>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</si>
  <si>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</si>
  <si>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</si>
  <si>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</si>
  <si>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</si>
  <si>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</si>
  <si>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</si>
  <si>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</si>
  <si>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</si>
  <si>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</si>
  <si>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</si>
  <si>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</si>
  <si>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</si>
  <si>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</si>
  <si>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</si>
  <si>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</si>
  <si>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</si>
  <si>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</si>
  <si>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</si>
  <si>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</si>
  <si>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</si>
  <si>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</si>
  <si>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</si>
  <si>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</si>
  <si>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</si>
  <si>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</si>
  <si>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</si>
  <si>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</si>
  <si>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</si>
  <si>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</si>
  <si>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</si>
  <si>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</si>
  <si>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</si>
  <si>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</si>
  <si>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</si>
  <si>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</si>
  <si>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</si>
  <si>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</si>
  <si>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</si>
  <si>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</si>
  <si>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</si>
  <si>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</si>
  <si>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</si>
  <si>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</si>
  <si>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</si>
  <si>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</si>
  <si>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</si>
  <si>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</si>
  <si>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</si>
  <si>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</si>
  <si>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</si>
  <si>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</si>
  <si>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</si>
  <si>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</si>
  <si>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</si>
  <si>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</si>
  <si>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</si>
  <si>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</si>
  <si>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</si>
  <si>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</si>
  <si>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</si>
  <si>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</si>
  <si>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</si>
  <si>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</si>
  <si>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</si>
  <si>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</si>
  <si>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</si>
  <si>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</si>
  <si>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</si>
  <si>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</si>
  <si>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</si>
  <si>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</si>
  <si>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</si>
  <si>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</si>
  <si>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</si>
  <si>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</si>
  <si>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</si>
  <si>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</si>
  <si>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</si>
  <si>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</si>
  <si>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</si>
  <si>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</si>
  <si>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</si>
  <si>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</si>
  <si>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</si>
  <si>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</si>
  <si>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</si>
  <si>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</si>
  <si>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</si>
  <si>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</si>
  <si>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</si>
  <si>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</si>
  <si>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</si>
  <si>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</si>
  <si>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</si>
  <si>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</si>
  <si>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</si>
  <si>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</si>
  <si>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</si>
  <si>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</si>
  <si>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</si>
  <si>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</si>
  <si>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</si>
  <si>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</si>
  <si>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</si>
  <si>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</si>
  <si>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</si>
  <si>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</si>
  <si>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</si>
  <si>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</si>
  <si>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</si>
  <si>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</si>
  <si>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</si>
  <si>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</si>
  <si>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</si>
  <si>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</si>
  <si>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</si>
  <si>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</si>
  <si>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</si>
  <si>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</si>
  <si>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</si>
  <si>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</si>
  <si>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</si>
  <si>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</si>
  <si>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</si>
  <si>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</si>
  <si>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</si>
  <si>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</si>
  <si>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</si>
  <si>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</si>
  <si>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</si>
  <si>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</si>
  <si>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</si>
  <si>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</si>
  <si>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</si>
  <si>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</si>
  <si>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</si>
  <si>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</si>
  <si>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</si>
  <si>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</si>
  <si>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</si>
  <si>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</si>
  <si>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</si>
  <si>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</si>
  <si>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</si>
  <si>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</si>
  <si>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</si>
  <si>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</si>
  <si>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</si>
  <si>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</si>
  <si>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</si>
  <si>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</si>
  <si>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</si>
  <si>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</si>
  <si>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</si>
  <si>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</si>
  <si>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</si>
  <si>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</si>
  <si>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</si>
  <si>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</si>
  <si>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</si>
  <si>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</si>
  <si>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</si>
  <si>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</si>
  <si>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</si>
  <si>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</si>
  <si>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</si>
  <si>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</si>
  <si>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</si>
  <si>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</si>
  <si>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</si>
  <si>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</si>
  <si>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</si>
  <si>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</si>
  <si>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</si>
  <si>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</si>
  <si>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</si>
  <si>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</si>
  <si>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</si>
  <si>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</si>
  <si>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</si>
  <si>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</si>
  <si>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</si>
  <si>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</si>
  <si>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</si>
  <si>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</si>
  <si>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</si>
  <si>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</si>
  <si>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</si>
  <si>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</si>
  <si>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</si>
  <si>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</si>
  <si>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</si>
  <si>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</si>
  <si>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</si>
  <si>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</si>
  <si>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</si>
  <si>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</si>
  <si>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</si>
  <si>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</si>
  <si>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</si>
  <si>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</si>
  <si>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</si>
  <si>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</si>
  <si>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</si>
  <si>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</si>
  <si>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</si>
  <si>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</si>
  <si>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</si>
  <si>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</si>
  <si>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</si>
  <si>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</si>
  <si>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</si>
  <si>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</si>
  <si>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</si>
  <si>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</si>
  <si>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</si>
  <si>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</si>
  <si>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</si>
  <si>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</si>
  <si>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</si>
  <si>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</si>
  <si>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</si>
  <si>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</si>
  <si>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</si>
  <si>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</si>
  <si>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</si>
  <si>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</si>
  <si>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</si>
  <si>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</si>
  <si>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</si>
  <si>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</si>
  <si>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</si>
  <si>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</si>
  <si>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</si>
  <si>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</si>
  <si>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</si>
  <si>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</si>
  <si>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</si>
  <si>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</si>
  <si>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</si>
  <si>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</si>
  <si>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</si>
  <si>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</si>
  <si>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</si>
  <si>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</si>
  <si>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</si>
  <si>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</si>
  <si>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</si>
  <si>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</si>
  <si>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</si>
  <si>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</si>
  <si>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</si>
  <si>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</si>
  <si>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</si>
  <si>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</si>
  <si>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</si>
  <si>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</si>
  <si>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</si>
  <si>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</si>
  <si>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</si>
  <si>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</si>
  <si>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</si>
  <si>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</si>
  <si>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</si>
  <si>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</si>
  <si>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</si>
  <si>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</si>
  <si>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</si>
  <si>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</si>
  <si>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</si>
  <si>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</si>
  <si>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</si>
  <si>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</si>
  <si>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</si>
  <si>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</si>
  <si>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</si>
  <si>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</si>
  <si>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</si>
  <si>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</si>
  <si>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</si>
  <si>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</si>
  <si>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</si>
  <si>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</si>
  <si>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</si>
  <si>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</si>
  <si>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</si>
  <si>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</si>
  <si>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</si>
  <si>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</si>
  <si>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</si>
  <si>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</si>
  <si>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</si>
  <si>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</si>
  <si>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</si>
  <si>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</si>
  <si>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</si>
  <si>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</si>
  <si>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</si>
  <si>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</si>
  <si>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</si>
  <si>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</si>
  <si>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</si>
  <si>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</si>
  <si>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</si>
  <si>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</si>
  <si>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</si>
  <si>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</si>
  <si>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</si>
  <si>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</si>
  <si>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</si>
  <si>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</si>
  <si>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</si>
  <si>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</si>
  <si>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</si>
  <si>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</si>
  <si>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</si>
  <si>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</si>
  <si>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</si>
  <si>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</si>
  <si>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</si>
  <si>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</si>
  <si>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</si>
  <si>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</si>
  <si>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</si>
  <si>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</si>
  <si>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</si>
  <si>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</si>
  <si>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</si>
  <si>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</si>
  <si>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</si>
  <si>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</si>
  <si>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</si>
  <si>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</si>
  <si>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</si>
  <si>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</si>
  <si>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</si>
  <si>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</si>
  <si>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</si>
  <si>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</si>
  <si>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</si>
  <si>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</si>
  <si>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</si>
  <si>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</si>
  <si>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</si>
  <si>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</si>
  <si>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</si>
  <si>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</si>
  <si>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</si>
  <si>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</si>
  <si>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</si>
  <si>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</si>
  <si>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</si>
  <si>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</si>
  <si>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</si>
  <si>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</si>
  <si>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</si>
  <si>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</si>
  <si>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</si>
  <si>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</si>
  <si>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</si>
  <si>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</si>
  <si>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</si>
  <si>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</si>
  <si>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</si>
  <si>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</si>
  <si>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</si>
  <si>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</si>
  <si>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</si>
  <si>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</si>
  <si>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</si>
  <si>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</si>
  <si>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</si>
  <si>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</si>
  <si>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</si>
  <si>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</si>
  <si>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</si>
  <si>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</si>
  <si>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</si>
  <si>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</si>
  <si>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</si>
  <si>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</si>
  <si>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</si>
  <si>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</si>
  <si>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</si>
  <si>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</si>
  <si>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</si>
  <si>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</si>
  <si>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</si>
  <si>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</si>
  <si>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</si>
  <si>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</si>
  <si>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</si>
  <si>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</si>
  <si>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</si>
  <si>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</si>
  <si>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</si>
  <si>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</si>
  <si>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</si>
  <si>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</si>
  <si>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</si>
  <si>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</si>
  <si>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</si>
  <si>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</si>
  <si>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</si>
  <si>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</si>
  <si>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</si>
  <si>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</si>
  <si>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</si>
  <si>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</si>
  <si>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</si>
  <si>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</si>
  <si>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</si>
  <si>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</si>
  <si>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</si>
  <si>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</si>
  <si>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</si>
  <si>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</si>
  <si>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</si>
  <si>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</si>
  <si>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</si>
  <si>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</si>
  <si>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</si>
  <si>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</si>
  <si>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</si>
  <si>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</si>
  <si>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</si>
  <si>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</si>
  <si>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</si>
  <si>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</si>
  <si>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</si>
  <si>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</si>
  <si>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</si>
  <si>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</si>
  <si>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</si>
  <si>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</si>
  <si>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</si>
  <si>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</si>
  <si>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</si>
  <si>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</si>
  <si>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</si>
  <si>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</si>
  <si>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</si>
  <si>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</si>
  <si>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</si>
  <si>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</si>
  <si>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</si>
  <si>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</si>
  <si>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</si>
  <si>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</si>
  <si>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</si>
  <si>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</si>
  <si>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</si>
  <si>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</si>
  <si>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</si>
  <si>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</si>
  <si>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</si>
  <si>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</si>
  <si>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</si>
  <si>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</si>
  <si>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</si>
  <si>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</si>
  <si>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</si>
  <si>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</si>
  <si>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</si>
  <si>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</si>
  <si>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</si>
  <si>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</si>
  <si>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</si>
  <si>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</si>
  <si>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</si>
  <si>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</si>
  <si>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</si>
  <si>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</si>
  <si>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</si>
  <si>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</si>
  <si>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</si>
  <si>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</si>
  <si>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</si>
  <si>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</si>
  <si>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</si>
  <si>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</si>
  <si>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</si>
  <si>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</si>
  <si>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</si>
  <si>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</si>
  <si>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</si>
  <si>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</si>
  <si>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</si>
  <si>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</si>
  <si>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</si>
  <si>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</si>
  <si>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</si>
  <si>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</si>
  <si>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</si>
  <si>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</si>
  <si>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</si>
  <si>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</si>
  <si>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</si>
  <si>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</si>
  <si>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</si>
  <si>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</si>
  <si>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</si>
  <si>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</si>
  <si>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</si>
  <si>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</si>
  <si>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</si>
  <si>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</si>
  <si>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</si>
  <si>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</si>
  <si>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</si>
  <si>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</si>
  <si>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</si>
  <si>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</si>
  <si>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</si>
  <si>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</si>
  <si>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</si>
  <si>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</si>
  <si>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</si>
  <si>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</si>
  <si>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</si>
  <si>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</si>
  <si>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</si>
  <si>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</si>
  <si>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</si>
  <si>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</si>
  <si>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</si>
  <si>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</si>
  <si>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</si>
  <si>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</si>
  <si>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</si>
  <si>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</si>
  <si>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</si>
  <si>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</si>
  <si>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</si>
  <si>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</si>
  <si>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</si>
  <si>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</si>
  <si>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</si>
  <si>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</si>
  <si>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</si>
  <si>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</si>
  <si>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</si>
  <si>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</si>
  <si>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</si>
  <si>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</si>
  <si>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</si>
  <si>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</si>
  <si>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</si>
  <si>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</si>
  <si>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</si>
  <si>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</si>
  <si>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</si>
  <si>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</si>
  <si>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</si>
  <si>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</si>
  <si>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</si>
  <si>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</si>
  <si>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</si>
  <si>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</si>
  <si>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</si>
  <si>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</si>
  <si>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</si>
  <si>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</si>
  <si>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</si>
  <si>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</si>
  <si>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</si>
  <si>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</si>
  <si>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</si>
  <si>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</si>
  <si>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</si>
  <si>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</si>
  <si>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</si>
  <si>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</si>
  <si>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</si>
  <si>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</si>
  <si>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</si>
  <si>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</si>
  <si>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</si>
  <si>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</si>
  <si>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</si>
  <si>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</si>
  <si>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</si>
  <si>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</si>
  <si>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</si>
  <si>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</si>
  <si>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</si>
  <si>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</si>
  <si>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</si>
  <si>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</si>
  <si>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</si>
  <si>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</si>
  <si>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</si>
  <si>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</si>
  <si>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</si>
  <si>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</si>
  <si>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</si>
  <si>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</si>
  <si>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</si>
  <si>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</si>
  <si>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</si>
  <si>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</si>
  <si>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</si>
  <si>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</si>
  <si>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</si>
  <si>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</si>
  <si>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</si>
  <si>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</si>
  <si>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</si>
  <si>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</si>
  <si>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</si>
  <si>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</si>
  <si>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</si>
  <si>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</si>
  <si>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</si>
  <si>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</si>
  <si>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</si>
  <si>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</si>
  <si>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</si>
  <si>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</si>
  <si>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</si>
  <si>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</si>
  <si>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</si>
  <si>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</si>
  <si>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</si>
  <si>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</si>
  <si>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</si>
  <si>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</si>
  <si>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</si>
  <si>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</si>
  <si>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</si>
  <si>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</si>
  <si>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</si>
  <si>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</si>
  <si>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</si>
  <si>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</si>
  <si>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</si>
  <si>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</si>
  <si>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</si>
  <si>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</si>
  <si>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</si>
  <si>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</si>
  <si>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</si>
  <si>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</si>
  <si>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</si>
  <si>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</si>
  <si>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</si>
  <si>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</si>
  <si>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</si>
  <si>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</si>
  <si>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</si>
  <si>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</si>
  <si>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</si>
  <si>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</si>
  <si>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</si>
  <si>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</si>
  <si>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</si>
  <si>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</si>
  <si>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</si>
  <si>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</si>
  <si>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</si>
  <si>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</si>
  <si>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</si>
  <si>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</si>
  <si>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</si>
  <si>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</si>
  <si>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</si>
  <si>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</si>
  <si>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</si>
  <si>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</si>
  <si>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</si>
  <si>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</si>
  <si>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</si>
  <si>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</si>
  <si>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</si>
  <si>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</si>
  <si>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</si>
  <si>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</si>
  <si>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</si>
  <si>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</si>
  <si>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</si>
  <si>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</si>
  <si>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</si>
  <si>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</si>
  <si>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</si>
  <si>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</si>
  <si>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</si>
  <si>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</si>
  <si>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</si>
  <si>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</si>
  <si>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</si>
  <si>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</si>
  <si>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</si>
  <si>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</si>
  <si>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</si>
  <si>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</si>
  <si>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</si>
  <si>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</si>
  <si>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</si>
  <si>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</si>
  <si>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</si>
  <si>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</si>
  <si>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</si>
  <si>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</si>
  <si>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</si>
  <si>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</si>
  <si>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</si>
  <si>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</si>
  <si>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</si>
  <si>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</si>
  <si>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</si>
  <si>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</si>
  <si>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</si>
  <si>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</si>
  <si>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</si>
  <si>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</si>
  <si>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</si>
  <si>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</si>
  <si>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</si>
  <si>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</si>
  <si>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</si>
  <si>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</si>
  <si>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</si>
  <si>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</si>
  <si>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</si>
  <si>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</si>
  <si>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</si>
  <si>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</si>
  <si>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</si>
  <si>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</si>
  <si>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</si>
  <si>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</si>
  <si>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</si>
  <si>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</si>
  <si>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</si>
  <si>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</si>
  <si>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</si>
  <si>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</si>
  <si>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</si>
  <si>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</si>
  <si>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</si>
  <si>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</si>
  <si>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</si>
  <si>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</si>
  <si>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</si>
  <si>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</si>
  <si>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</si>
  <si>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</si>
  <si>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</si>
  <si>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</si>
  <si>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</si>
  <si>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</si>
  <si>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</si>
  <si>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</si>
  <si>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</si>
  <si>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</si>
  <si>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</si>
  <si>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</si>
  <si>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</si>
  <si>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</si>
  <si>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</si>
  <si>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</si>
  <si>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</si>
  <si>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</si>
  <si>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</si>
  <si>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</si>
  <si>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</si>
  <si>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</si>
  <si>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</si>
  <si>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</si>
  <si>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</si>
  <si>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</si>
  <si>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</si>
  <si>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</si>
  <si>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</si>
  <si>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</si>
  <si>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</si>
  <si>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</si>
  <si>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</si>
  <si>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</si>
  <si>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</si>
  <si>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</si>
  <si>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</si>
  <si>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</si>
  <si>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</si>
  <si>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</si>
  <si>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</si>
  <si>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</si>
  <si>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</si>
  <si>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</si>
  <si>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</si>
  <si>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</si>
  <si>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</si>
  <si>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</si>
  <si>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</si>
  <si>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</si>
  <si>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</si>
  <si>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</si>
  <si>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</si>
  <si>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</si>
  <si>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</si>
  <si>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</si>
  <si>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</si>
  <si>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</si>
  <si>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</si>
  <si>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</si>
  <si>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</si>
  <si>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</si>
  <si>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</si>
  <si>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</si>
  <si>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</si>
  <si>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</si>
  <si>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</si>
  <si>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</si>
  <si>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</si>
  <si>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</si>
  <si>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</si>
  <si>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</si>
  <si>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</si>
  <si>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</si>
  <si>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</si>
  <si>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</si>
  <si>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</si>
  <si>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</si>
  <si>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</si>
  <si>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</si>
  <si>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</si>
  <si>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</si>
  <si>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</si>
  <si>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</si>
  <si>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</si>
  <si>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</si>
  <si>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</si>
  <si>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</si>
  <si>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</si>
  <si>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</si>
  <si>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</si>
  <si>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</si>
  <si>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</si>
  <si>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</si>
  <si>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</si>
  <si>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</si>
  <si>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</si>
  <si>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</si>
  <si>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</si>
  <si>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</si>
  <si>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</si>
  <si>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</si>
  <si>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</si>
  <si>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</si>
  <si>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</si>
  <si>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</si>
  <si>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</si>
  <si>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</si>
  <si>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</si>
  <si>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</si>
  <si>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</si>
  <si>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</si>
  <si>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</si>
  <si>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</si>
  <si>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</si>
  <si>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</si>
  <si>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</si>
  <si>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</si>
  <si>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</si>
  <si>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</si>
  <si>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</si>
  <si>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</si>
  <si>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</si>
  <si>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</si>
  <si>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</si>
  <si>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</si>
  <si>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</si>
  <si>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</si>
  <si>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</si>
  <si>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</si>
  <si>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</si>
  <si>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</si>
  <si>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</si>
  <si>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</si>
  <si>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</si>
  <si>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</si>
  <si>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</si>
  <si>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</si>
  <si>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</si>
  <si>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</si>
  <si>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</si>
  <si>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</si>
  <si>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</si>
  <si>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</si>
  <si>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</si>
  <si>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</si>
  <si>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</si>
  <si>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</si>
  <si>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</si>
  <si>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</si>
  <si>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</si>
  <si>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</si>
  <si>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</si>
  <si>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</si>
  <si>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</si>
  <si>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</si>
  <si>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</si>
  <si>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</si>
  <si>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</si>
  <si>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</si>
  <si>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</si>
  <si>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</si>
  <si>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</si>
  <si>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</si>
  <si>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</si>
  <si>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</si>
  <si>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</si>
  <si>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</si>
  <si>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</si>
  <si>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</si>
  <si>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</si>
  <si>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</si>
  <si>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</si>
  <si>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</si>
  <si>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</si>
  <si>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</si>
  <si>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</si>
  <si>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</si>
  <si>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</si>
  <si>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</si>
  <si>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</si>
  <si>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</si>
  <si>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</si>
  <si>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</si>
  <si>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</si>
  <si>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</si>
  <si>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</si>
  <si>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</si>
  <si>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</si>
  <si>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</si>
  <si>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</si>
  <si>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</si>
  <si>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</si>
  <si>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</si>
  <si>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</si>
  <si>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</si>
  <si>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</si>
  <si>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</si>
  <si>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</si>
  <si>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</si>
  <si>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</si>
  <si>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</si>
  <si>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</si>
  <si>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</si>
  <si>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</si>
  <si>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</si>
  <si>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</si>
  <si>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</si>
  <si>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</si>
  <si>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</si>
  <si>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</si>
  <si>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</si>
  <si>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</si>
  <si>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</si>
  <si>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</si>
  <si>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</si>
  <si>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</si>
  <si>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</si>
  <si>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</si>
  <si>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</si>
  <si>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</si>
  <si>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</si>
  <si>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</si>
  <si>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</si>
  <si>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</si>
  <si>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</si>
  <si>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</si>
  <si>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</si>
  <si>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</si>
  <si>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</si>
  <si>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</si>
  <si>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</si>
  <si>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</si>
  <si>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</si>
  <si>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</si>
  <si>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</si>
  <si>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</si>
  <si>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</si>
  <si>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</si>
  <si>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</si>
  <si>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</si>
  <si>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</si>
  <si>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</si>
  <si>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</si>
  <si>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</si>
  <si>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</si>
  <si>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</si>
  <si>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</si>
  <si>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</si>
  <si>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</si>
  <si>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</si>
  <si>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</si>
  <si>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</si>
  <si>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</si>
  <si>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</si>
  <si>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</si>
  <si>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</si>
  <si>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</si>
  <si>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</si>
  <si>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</si>
  <si>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</si>
  <si>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</si>
  <si>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</si>
  <si>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</si>
  <si>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</si>
  <si>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</si>
  <si>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</si>
  <si>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</si>
  <si>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</si>
  <si>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</si>
  <si>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</si>
  <si>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</si>
  <si>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</si>
  <si>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</si>
  <si>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</si>
  <si>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</si>
  <si>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</si>
  <si>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</si>
  <si>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</si>
  <si>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</si>
  <si>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</si>
  <si>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</si>
  <si>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</si>
  <si>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</si>
  <si>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</si>
  <si>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</si>
  <si>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</si>
  <si>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</si>
  <si>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</si>
  <si>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</si>
  <si>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</si>
  <si>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</si>
  <si>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</si>
  <si>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</si>
  <si>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</si>
  <si>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</si>
  <si>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</si>
  <si>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</si>
  <si>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</si>
  <si>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</si>
  <si>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</si>
  <si>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</si>
  <si>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</si>
  <si>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</si>
  <si>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</si>
  <si>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</si>
  <si>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</si>
  <si>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</si>
  <si>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</si>
  <si>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</si>
  <si>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</si>
  <si>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</si>
  <si>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</si>
  <si>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</si>
  <si>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</si>
  <si>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</si>
  <si>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</si>
  <si>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</si>
  <si>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</si>
  <si>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</si>
  <si>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</si>
  <si>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</si>
  <si>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</si>
  <si>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</si>
  <si>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</si>
  <si>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</si>
  <si>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</si>
  <si>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</si>
  <si>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</si>
  <si>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</si>
  <si>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</si>
  <si>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</si>
  <si>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</si>
  <si>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</si>
  <si>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</si>
  <si>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</si>
  <si>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</si>
  <si>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</si>
  <si>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</si>
  <si>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</si>
  <si>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</si>
  <si>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</si>
  <si>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</si>
  <si>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</si>
  <si>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</si>
  <si>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</si>
  <si>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</si>
  <si>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</si>
  <si>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</si>
  <si>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</si>
  <si>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</si>
  <si>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</si>
  <si>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</si>
  <si>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</si>
  <si>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</si>
  <si>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</si>
  <si>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</si>
  <si>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</si>
  <si>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</si>
  <si>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</si>
  <si>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</si>
  <si>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</si>
  <si>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</si>
  <si>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</si>
  <si>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</si>
  <si>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</si>
  <si>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</si>
  <si>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</si>
  <si>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</si>
  <si>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</si>
  <si>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</si>
  <si>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</si>
  <si>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</si>
  <si>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</si>
  <si>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</si>
  <si>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</si>
  <si>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</si>
  <si>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</si>
  <si>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</si>
  <si>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</si>
  <si>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</si>
  <si>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</si>
  <si>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</si>
  <si>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</si>
  <si>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</si>
  <si>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</si>
  <si>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</si>
  <si>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</si>
  <si>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</si>
  <si>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</si>
  <si>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</si>
  <si>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</si>
  <si>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</si>
  <si>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</si>
  <si>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</si>
  <si>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</si>
  <si>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</si>
  <si>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</si>
  <si>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</si>
  <si>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</si>
  <si>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</si>
  <si>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</si>
  <si>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</si>
  <si>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</si>
  <si>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</si>
  <si>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</si>
  <si>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</si>
  <si>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</si>
  <si>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</si>
  <si>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</si>
  <si>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</si>
  <si>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</si>
  <si>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</si>
  <si>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</si>
  <si>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</si>
  <si>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</si>
  <si>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</si>
  <si>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</si>
  <si>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</si>
  <si>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</si>
  <si>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</si>
  <si>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</si>
  <si>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</si>
  <si>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</si>
  <si>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</si>
  <si>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</si>
  <si>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</si>
  <si>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</si>
  <si>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</si>
  <si>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</si>
  <si>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</si>
  <si>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</si>
  <si>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</si>
  <si>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</si>
  <si>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</si>
  <si>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</si>
  <si>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</si>
  <si>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</si>
  <si>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</si>
  <si>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</si>
  <si>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</si>
  <si>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</si>
  <si>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</si>
  <si>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</si>
  <si>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</si>
  <si>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</si>
  <si>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</si>
  <si>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</si>
  <si>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</si>
  <si>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</si>
  <si>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</si>
  <si>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</si>
  <si>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</si>
  <si>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</si>
  <si>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</si>
  <si>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</si>
  <si>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</si>
  <si>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</si>
  <si>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</si>
  <si>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</si>
  <si>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</si>
  <si>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</si>
  <si>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</si>
  <si>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</si>
  <si>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</si>
  <si>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</si>
  <si>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</si>
  <si>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</si>
  <si>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</si>
  <si>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</si>
  <si>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</si>
  <si>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</si>
  <si>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</si>
  <si>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</si>
  <si>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</si>
  <si>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</si>
  <si>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</si>
  <si>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</si>
  <si>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</si>
  <si>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</si>
  <si>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</si>
  <si>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</si>
  <si>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</si>
  <si>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</si>
  <si>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</si>
  <si>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</si>
  <si>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</si>
  <si>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</si>
  <si>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</si>
  <si>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</si>
  <si>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</si>
  <si>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</si>
  <si>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</si>
  <si>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</si>
  <si>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</si>
  <si>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</si>
  <si>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</si>
  <si>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</si>
  <si>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</si>
  <si>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</si>
  <si>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</si>
  <si>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</si>
  <si>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</si>
  <si>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</si>
  <si>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</si>
  <si>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</si>
  <si>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</si>
  <si>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</si>
  <si>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</si>
  <si>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</si>
  <si>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</si>
  <si>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</si>
  <si>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</si>
  <si>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</si>
  <si>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</si>
  <si>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</si>
  <si>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</si>
  <si>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</si>
  <si>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</si>
  <si>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</si>
  <si>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</si>
  <si>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</si>
  <si>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</si>
  <si>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</si>
  <si>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</si>
  <si>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</si>
  <si>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</si>
  <si>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</si>
  <si>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</si>
  <si>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</si>
  <si>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</si>
  <si>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</si>
  <si>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</si>
  <si>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</si>
  <si>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</si>
  <si>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</si>
  <si>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</si>
  <si>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</si>
  <si>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</si>
  <si>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</si>
  <si>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</si>
  <si>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</si>
  <si>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</si>
  <si>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</si>
  <si>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</si>
  <si>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</si>
  <si>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</si>
  <si>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</si>
  <si>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</si>
  <si>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</si>
  <si>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</si>
  <si>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</si>
  <si>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</si>
  <si>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</si>
  <si>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</si>
  <si>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</si>
  <si>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</si>
  <si>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</si>
  <si>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</si>
  <si>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</si>
  <si>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</si>
  <si>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</si>
  <si>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</si>
  <si>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</si>
  <si>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</si>
  <si>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</si>
  <si>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</si>
  <si>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</si>
  <si>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</si>
  <si>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</si>
  <si>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</si>
  <si>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</si>
  <si>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</si>
  <si>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</si>
  <si>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</si>
  <si>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</si>
  <si>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</si>
  <si>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</si>
  <si>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</si>
  <si>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</si>
  <si>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</si>
  <si>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</si>
  <si>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</si>
  <si>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</si>
  <si>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</si>
  <si>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</si>
  <si>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</si>
  <si>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</si>
  <si>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</si>
  <si>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</si>
  <si>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</si>
  <si>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</si>
  <si>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</si>
  <si>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</si>
  <si>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</si>
  <si>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</si>
  <si>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</si>
  <si>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</si>
  <si>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</si>
  <si>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</si>
  <si>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</si>
  <si>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</si>
  <si>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</si>
  <si>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</si>
  <si>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</si>
  <si>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</si>
  <si>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</si>
  <si>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</si>
  <si>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</si>
  <si>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</si>
  <si>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</si>
  <si>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</si>
  <si>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</si>
  <si>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</si>
  <si>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</si>
  <si>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</si>
  <si>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</si>
  <si>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</si>
  <si>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</si>
  <si>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</si>
  <si>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</si>
  <si>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</si>
  <si>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</si>
  <si>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</si>
  <si>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</si>
  <si>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</si>
  <si>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</si>
  <si>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</si>
  <si>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</si>
  <si>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</si>
  <si>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</si>
  <si>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</si>
  <si>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</si>
  <si>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</si>
  <si>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</si>
  <si>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</si>
  <si>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</si>
  <si>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</si>
  <si>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</si>
  <si>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</si>
  <si>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</si>
  <si>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</si>
  <si>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</si>
  <si>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</si>
  <si>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</si>
  <si>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</si>
  <si>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</si>
  <si>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</si>
  <si>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</si>
  <si>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</si>
  <si>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</si>
  <si>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</si>
  <si>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</si>
  <si>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</si>
  <si>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</si>
  <si>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</si>
  <si>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</si>
  <si>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</si>
  <si>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</si>
  <si>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</si>
  <si>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</si>
  <si>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</si>
  <si>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</si>
  <si>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</si>
  <si>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</si>
  <si>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</si>
  <si>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</si>
  <si>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</si>
  <si>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</si>
  <si>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</si>
  <si>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</si>
  <si>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</si>
  <si>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</si>
  <si>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</si>
  <si>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</si>
  <si>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</si>
  <si>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</si>
  <si>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</si>
  <si>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</si>
  <si>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</si>
  <si>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</si>
  <si>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</si>
  <si>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</si>
  <si>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</si>
  <si>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</si>
  <si>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</si>
  <si>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</si>
  <si>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</si>
  <si>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</si>
  <si>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</si>
  <si>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</si>
  <si>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</si>
  <si>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</si>
  <si>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</si>
  <si>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</si>
  <si>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</si>
  <si>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</si>
  <si>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</si>
  <si>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</si>
  <si>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</si>
  <si>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</si>
  <si>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</si>
  <si>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</si>
  <si>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</si>
  <si>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</si>
  <si>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</si>
  <si>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</si>
  <si>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</si>
  <si>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</si>
  <si>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</si>
  <si>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</si>
  <si>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</si>
  <si>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</si>
  <si>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</si>
  <si>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</si>
  <si>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</si>
  <si>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</si>
  <si>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</si>
  <si>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</si>
  <si>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</si>
  <si>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</si>
  <si>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</si>
  <si>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</si>
  <si>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</si>
  <si>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</si>
  <si>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</si>
  <si>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</si>
  <si>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</si>
  <si>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</si>
  <si>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</si>
  <si>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</si>
  <si>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</si>
  <si>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</si>
  <si>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</si>
  <si>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</si>
  <si>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</si>
  <si>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</si>
  <si>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</si>
  <si>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</si>
  <si>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</si>
  <si>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</si>
  <si>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</si>
  <si>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</si>
  <si>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</si>
  <si>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</si>
  <si>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</si>
  <si>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</si>
  <si>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</si>
  <si>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</si>
  <si>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</si>
  <si>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</si>
  <si>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</si>
  <si>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</si>
  <si>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</si>
  <si>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</si>
  <si>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</si>
  <si>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</si>
  <si>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</si>
  <si>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</si>
  <si>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</si>
  <si>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</si>
  <si>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</si>
  <si>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</si>
  <si>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</si>
  <si>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</si>
  <si>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</si>
  <si>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</si>
  <si>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</si>
  <si>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</si>
  <si>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</si>
  <si>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</si>
  <si>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</si>
  <si>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</si>
  <si>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</si>
  <si>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</si>
  <si>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</si>
  <si>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</si>
  <si>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</si>
  <si>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</si>
  <si>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</si>
  <si>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</si>
  <si>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</si>
  <si>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</si>
  <si>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</si>
  <si>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</si>
  <si>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</si>
  <si>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</si>
  <si>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</si>
  <si>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</si>
  <si>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</si>
  <si>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</si>
  <si>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</si>
  <si>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</si>
  <si>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</si>
  <si>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</si>
  <si>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</si>
  <si>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</si>
  <si>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</si>
  <si>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</si>
  <si>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</si>
  <si>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</si>
  <si>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</si>
  <si>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</si>
  <si>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</si>
  <si>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</si>
  <si>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</si>
  <si>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</si>
  <si>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</si>
  <si>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</si>
  <si>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</si>
  <si>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</si>
  <si>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</si>
  <si>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</si>
  <si>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</si>
  <si>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</si>
  <si>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</si>
  <si>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</si>
  <si>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</si>
  <si>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</si>
  <si>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</si>
  <si>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</si>
  <si>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</si>
  <si>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</si>
  <si>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</si>
  <si>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</si>
  <si>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</si>
  <si>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</si>
  <si>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</si>
  <si>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</si>
  <si>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</si>
  <si>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</si>
  <si>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</si>
  <si>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</si>
  <si>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</si>
  <si>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</si>
  <si>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</si>
  <si>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</si>
  <si>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</si>
  <si>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</si>
  <si>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</si>
  <si>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</si>
  <si>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</si>
  <si>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</si>
  <si>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</si>
  <si>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</si>
  <si>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</si>
  <si>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</si>
  <si>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</si>
  <si>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</si>
  <si>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</si>
  <si>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</si>
  <si>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</si>
  <si>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</si>
  <si>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</si>
  <si>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</si>
  <si>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</si>
  <si>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</si>
  <si>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</si>
  <si>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</si>
  <si>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</si>
  <si>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</si>
  <si>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</si>
  <si>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</si>
  <si>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</si>
  <si>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</si>
  <si>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</si>
  <si>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</si>
  <si>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</si>
  <si>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</si>
  <si>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</si>
  <si>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</si>
  <si>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</si>
  <si>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</si>
  <si>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</si>
  <si>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</si>
  <si>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</si>
  <si>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</si>
  <si>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</si>
  <si>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</si>
  <si>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</si>
  <si>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</si>
  <si>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</si>
  <si>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</si>
  <si>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</si>
  <si>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</si>
  <si>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</si>
  <si>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</si>
  <si>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</si>
  <si>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</si>
  <si>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</si>
  <si>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</si>
  <si>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</si>
  <si>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</si>
  <si>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</si>
  <si>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</si>
  <si>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</si>
  <si>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</si>
  <si>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</si>
  <si>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</si>
  <si>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</si>
  <si>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</si>
  <si>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</si>
  <si>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</si>
  <si>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</si>
  <si>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</si>
  <si>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</si>
  <si>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</si>
  <si>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</si>
  <si>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</si>
  <si>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</si>
  <si>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</si>
  <si>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</si>
  <si>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</si>
  <si>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</si>
  <si>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</si>
  <si>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</si>
  <si>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</si>
  <si>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</si>
  <si>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</si>
  <si>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</si>
  <si>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</si>
  <si>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</si>
  <si>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</si>
  <si>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</si>
  <si>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</si>
  <si>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</si>
  <si>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</si>
  <si>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</si>
  <si>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</si>
  <si>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</si>
  <si>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</si>
  <si>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</si>
  <si>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</si>
  <si>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</si>
  <si>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</si>
  <si>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</si>
  <si>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</si>
  <si>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</si>
  <si>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</si>
  <si>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</si>
  <si>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</si>
  <si>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</si>
  <si>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</si>
  <si>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</si>
  <si>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</si>
  <si>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</si>
  <si>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</si>
  <si>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</si>
  <si>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</si>
  <si>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</si>
  <si>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</si>
  <si>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</si>
  <si>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</si>
  <si>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</si>
  <si>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</si>
  <si>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</si>
  <si>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</si>
  <si>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</si>
  <si>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</si>
  <si>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</si>
  <si>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</si>
  <si>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</si>
  <si>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</si>
  <si>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</si>
  <si>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</si>
  <si>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</si>
  <si>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</si>
  <si>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</si>
  <si>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</si>
  <si>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</si>
  <si>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</si>
  <si>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</si>
  <si>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</si>
  <si>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</si>
  <si>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</si>
  <si>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</si>
  <si>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</si>
  <si>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</si>
  <si>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</si>
  <si>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</si>
  <si>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</si>
  <si>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</si>
  <si>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</si>
  <si>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</si>
  <si>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</si>
  <si>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</si>
  <si>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</si>
  <si>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</si>
  <si>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</si>
  <si>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</si>
  <si>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</si>
  <si>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</si>
  <si>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</si>
  <si>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</si>
  <si>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</si>
  <si>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</si>
  <si>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</si>
  <si>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</si>
  <si>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</si>
  <si>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</si>
  <si>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</si>
  <si>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</si>
  <si>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</si>
  <si>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</si>
  <si>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</si>
  <si>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</si>
  <si>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</si>
  <si>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</si>
  <si>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</si>
  <si>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</si>
  <si>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</si>
  <si>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</si>
  <si>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</si>
  <si>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</si>
  <si>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</si>
  <si>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</si>
  <si>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</si>
  <si>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</si>
  <si>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</si>
  <si>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</si>
  <si>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</si>
  <si>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</si>
  <si>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</si>
  <si>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</si>
  <si>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</si>
  <si>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</si>
  <si>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</si>
  <si>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</si>
  <si>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</si>
  <si>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</si>
  <si>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</si>
  <si>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</si>
  <si>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</si>
  <si>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</si>
  <si>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</si>
  <si>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</si>
  <si>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</si>
  <si>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</si>
  <si>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</si>
  <si>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</si>
  <si>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</si>
  <si>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</si>
  <si>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</si>
  <si>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</si>
  <si>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</si>
  <si>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</si>
  <si>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</si>
  <si>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</si>
  <si>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</si>
  <si>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</si>
  <si>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</si>
  <si>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</si>
  <si>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</si>
  <si>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</si>
  <si>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</si>
  <si>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</si>
  <si>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</si>
  <si>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</si>
  <si>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</si>
  <si>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</si>
  <si>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</si>
  <si>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</si>
  <si>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</si>
  <si>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</si>
  <si>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</si>
  <si>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</si>
  <si>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</si>
  <si>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</si>
  <si>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</si>
  <si>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</si>
  <si>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</si>
  <si>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</si>
  <si>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</si>
  <si>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</si>
  <si>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</si>
  <si>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</si>
  <si>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</si>
  <si>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</si>
  <si>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</si>
  <si>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</si>
  <si>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</si>
  <si>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</si>
  <si>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</si>
  <si>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</si>
  <si>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</si>
  <si>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</si>
  <si>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</si>
  <si>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</si>
  <si>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</si>
  <si>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</si>
  <si>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</si>
  <si>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</si>
  <si>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</si>
  <si>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</si>
  <si>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</si>
  <si>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</si>
  <si>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</si>
  <si>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</si>
  <si>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</si>
  <si>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</si>
  <si>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</si>
  <si>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</si>
  <si>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</si>
  <si>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</si>
  <si>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</si>
  <si>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</si>
  <si>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</si>
  <si>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</si>
  <si>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</si>
  <si>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</si>
  <si>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</si>
  <si>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</si>
  <si>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</si>
  <si>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</si>
  <si>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</si>
  <si>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</si>
  <si>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</si>
  <si>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</si>
  <si>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</si>
  <si>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</si>
  <si>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</si>
  <si>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</si>
  <si>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</si>
  <si>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</si>
  <si>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</si>
  <si>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</si>
  <si>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</si>
  <si>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</si>
  <si>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</si>
  <si>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</si>
  <si>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</si>
  <si>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</si>
  <si>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</si>
  <si>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</si>
  <si>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</si>
  <si>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</si>
  <si>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</si>
  <si>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</si>
  <si>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</si>
  <si>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</si>
  <si>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</si>
  <si>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</si>
  <si>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</si>
  <si>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</si>
  <si>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</si>
  <si>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</si>
  <si>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</si>
  <si>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</si>
  <si>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</si>
  <si>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</si>
  <si>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</si>
  <si>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</si>
  <si>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</si>
  <si>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</si>
  <si>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</si>
  <si>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</si>
  <si>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</si>
  <si>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</si>
  <si>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</si>
  <si>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</si>
  <si>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</si>
  <si>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</si>
  <si>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</si>
  <si>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</si>
  <si>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</si>
  <si>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</si>
  <si>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</si>
  <si>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</si>
  <si>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</si>
  <si>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</si>
  <si>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</si>
  <si>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</si>
  <si>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</si>
  <si>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</si>
  <si>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</si>
  <si>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</si>
  <si>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</si>
  <si>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</si>
  <si>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</si>
  <si>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</si>
  <si>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</si>
  <si>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</si>
  <si>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</si>
  <si>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</si>
  <si>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</si>
  <si>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</si>
  <si>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</si>
  <si>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</si>
  <si>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</si>
  <si>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</si>
  <si>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</si>
  <si>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</si>
  <si>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</si>
  <si>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</si>
  <si>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</si>
  <si>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</si>
  <si>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</si>
  <si>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</si>
  <si>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</si>
  <si>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</si>
  <si>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</si>
  <si>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</si>
  <si>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</si>
  <si>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</si>
  <si>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</si>
  <si>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</si>
  <si>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</si>
  <si>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</si>
  <si>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</si>
  <si>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</si>
  <si>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</si>
  <si>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</si>
  <si>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</si>
  <si>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</si>
  <si>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</si>
  <si>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</si>
  <si>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</si>
  <si>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</si>
  <si>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</si>
  <si>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</si>
  <si>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</si>
  <si>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</si>
  <si>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</si>
  <si>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</si>
  <si>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</si>
  <si>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</si>
  <si>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</si>
  <si>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</si>
  <si>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</si>
  <si>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</si>
  <si>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</si>
  <si>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</si>
  <si>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</si>
  <si>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</si>
  <si>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</si>
  <si>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</si>
  <si>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</si>
  <si>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</si>
  <si>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</si>
  <si>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</si>
  <si>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</si>
  <si>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</si>
  <si>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</si>
  <si>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</si>
  <si>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</si>
  <si>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</si>
  <si>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</si>
  <si>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</si>
  <si>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</si>
  <si>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</si>
  <si>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</si>
  <si>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</si>
  <si>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</si>
  <si>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</si>
  <si>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</si>
  <si>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</si>
  <si>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</si>
  <si>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</si>
  <si>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</si>
  <si>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</si>
  <si>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</si>
  <si>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</si>
  <si>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</si>
  <si>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</si>
  <si>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</si>
  <si>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</si>
  <si>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</si>
  <si>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</si>
  <si>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</si>
  <si>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</si>
  <si>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</si>
  <si>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</si>
  <si>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</si>
  <si>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</si>
  <si>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</si>
  <si>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</si>
  <si>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</si>
  <si>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</si>
  <si>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</si>
  <si>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</si>
  <si>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</si>
  <si>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</si>
  <si>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</si>
  <si>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</si>
  <si>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</si>
  <si>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</si>
  <si>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</si>
  <si>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</si>
  <si>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</si>
  <si>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</si>
  <si>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</si>
  <si>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</si>
  <si>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</si>
  <si>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</si>
  <si>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</si>
  <si>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</si>
  <si>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</si>
  <si>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</si>
  <si>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</si>
  <si>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</si>
  <si>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</si>
  <si>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</si>
  <si>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</si>
  <si>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</si>
  <si>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</si>
  <si>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</si>
  <si>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</si>
  <si>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</si>
  <si>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</si>
  <si>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</si>
  <si>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</si>
  <si>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</si>
  <si>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</si>
  <si>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</si>
  <si>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</si>
  <si>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</si>
  <si>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</si>
  <si>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</si>
  <si>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</si>
  <si>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</si>
  <si>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</si>
  <si>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</si>
  <si>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</si>
  <si>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</si>
  <si>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</si>
  <si>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</si>
  <si>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</si>
  <si>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</si>
  <si>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</si>
  <si>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</si>
  <si>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</si>
  <si>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</si>
  <si>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</si>
  <si>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</si>
  <si>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</si>
  <si>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</si>
  <si>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</si>
  <si>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</si>
  <si>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</si>
  <si>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</si>
  <si>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</si>
  <si>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</si>
  <si>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</si>
  <si>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</si>
  <si>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</si>
  <si>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</si>
  <si>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</si>
  <si>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</si>
  <si>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</si>
  <si>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</si>
  <si>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</si>
  <si>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</si>
  <si>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</si>
  <si>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</si>
  <si>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</si>
  <si>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</si>
  <si>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</si>
  <si>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</si>
  <si>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</si>
  <si>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</si>
  <si>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</si>
  <si>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</si>
  <si>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</si>
  <si>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</si>
  <si>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</si>
  <si>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</si>
  <si>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</si>
  <si>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</si>
  <si>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</si>
  <si>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</si>
  <si>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</si>
  <si>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</si>
  <si>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</si>
  <si>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</si>
  <si>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</si>
  <si>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</si>
  <si>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</si>
  <si>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</si>
  <si>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</si>
  <si>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</si>
  <si>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</si>
  <si>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</si>
  <si>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</si>
  <si>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</si>
  <si>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</si>
  <si>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</si>
  <si>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</si>
  <si>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</si>
  <si>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</si>
  <si>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</si>
  <si>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</si>
  <si>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</si>
  <si>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</si>
  <si>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</si>
  <si>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</si>
  <si>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</si>
  <si>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</si>
  <si>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</si>
  <si>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</si>
  <si>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</si>
  <si>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</si>
  <si>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</si>
  <si>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</si>
  <si>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</si>
  <si>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</si>
  <si>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</si>
  <si>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</si>
  <si>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</si>
  <si>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</si>
  <si>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</si>
  <si>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</si>
  <si>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</si>
  <si>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</si>
  <si>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</si>
  <si>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</si>
  <si>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</si>
  <si>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</si>
  <si>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</si>
  <si>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</si>
  <si>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</si>
  <si>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</si>
  <si>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</si>
  <si>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</si>
  <si>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</si>
  <si>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</si>
  <si>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</si>
  <si>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</si>
  <si>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</si>
  <si>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</si>
  <si>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</si>
  <si>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</si>
  <si>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</si>
  <si>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</si>
  <si>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</si>
  <si>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</si>
  <si>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</si>
  <si>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</si>
  <si>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</si>
  <si>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</si>
  <si>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</si>
  <si>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</si>
  <si>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</si>
  <si>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</si>
  <si>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</si>
  <si>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</si>
  <si>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</si>
  <si>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</si>
  <si>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</si>
  <si>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</si>
  <si>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</si>
  <si>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</si>
  <si>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</si>
  <si>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</si>
  <si>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</si>
  <si>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</si>
  <si>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</si>
  <si>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</si>
  <si>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</si>
  <si>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</si>
  <si>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</si>
  <si>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</si>
  <si>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</si>
  <si>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</si>
  <si>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</si>
  <si>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</si>
  <si>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</si>
  <si>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</si>
  <si>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</si>
  <si>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</si>
  <si>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</si>
  <si>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</si>
  <si>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</si>
  <si>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</si>
  <si>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</si>
  <si>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</si>
  <si>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</si>
  <si>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</si>
  <si>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</si>
  <si>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</si>
  <si>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</si>
  <si>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</si>
  <si>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</si>
  <si>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</si>
  <si>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</si>
  <si>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</si>
  <si>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</si>
  <si>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</si>
  <si>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</si>
  <si>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</si>
  <si>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</si>
  <si>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</si>
  <si>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</si>
  <si>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</si>
  <si>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</si>
  <si>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</si>
  <si>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</si>
  <si>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</si>
  <si>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</si>
  <si>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</si>
  <si>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</si>
  <si>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</si>
  <si>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</si>
  <si>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</si>
  <si>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</si>
  <si>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</si>
  <si>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</si>
  <si>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</si>
  <si>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</si>
  <si>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</si>
  <si>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</si>
  <si>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</si>
  <si>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</si>
  <si>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</si>
  <si>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</si>
  <si>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</si>
  <si>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</si>
  <si>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</si>
  <si>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</si>
  <si>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</si>
  <si>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</si>
  <si>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</si>
  <si>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</si>
  <si>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</si>
  <si>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</si>
  <si>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</si>
  <si>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</si>
  <si>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</si>
  <si>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</si>
  <si>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</si>
  <si>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</si>
  <si>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</si>
  <si>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</si>
  <si>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</si>
  <si>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</si>
  <si>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</si>
  <si>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</si>
  <si>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</si>
  <si>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</si>
  <si>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</si>
  <si>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</si>
  <si>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</si>
  <si>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</si>
  <si>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</si>
  <si>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</si>
  <si>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</si>
  <si>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</si>
  <si>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</si>
  <si>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</si>
  <si>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</si>
  <si>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</si>
  <si>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</si>
  <si>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</si>
  <si>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</si>
  <si>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</si>
  <si>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</si>
  <si>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</si>
  <si>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</si>
  <si>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</si>
  <si>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</si>
  <si>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</si>
  <si>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</si>
  <si>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</si>
  <si>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</si>
  <si>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</si>
  <si>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</si>
  <si>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</si>
  <si>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</si>
  <si>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</si>
  <si>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</si>
  <si>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</si>
  <si>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</si>
  <si>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</si>
  <si>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</si>
  <si>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</si>
  <si>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</si>
  <si>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</si>
  <si>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</si>
  <si>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</si>
  <si>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</si>
  <si>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</si>
  <si>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</si>
  <si>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</si>
  <si>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</si>
  <si>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</si>
  <si>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</si>
  <si>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</si>
  <si>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</si>
  <si>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</si>
  <si>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</si>
  <si>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</si>
  <si>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</si>
  <si>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</si>
  <si>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</si>
  <si>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</si>
  <si>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</si>
  <si>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</si>
  <si>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</si>
  <si>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</si>
  <si>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</si>
  <si>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</si>
  <si>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</si>
  <si>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</si>
  <si>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</si>
  <si>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</si>
  <si>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</si>
  <si>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</si>
  <si>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</si>
  <si>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</si>
  <si>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</si>
  <si>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</si>
  <si>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</si>
  <si>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</si>
  <si>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</si>
  <si>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</si>
  <si>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</si>
  <si>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</si>
  <si>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</si>
  <si>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</si>
  <si>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</si>
  <si>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</si>
  <si>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</si>
  <si>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</si>
  <si>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</si>
  <si>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</si>
  <si>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</si>
  <si>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</si>
  <si>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</si>
  <si>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</si>
  <si>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</si>
  <si>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</si>
  <si>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</si>
  <si>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</si>
  <si>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</si>
  <si>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</si>
  <si>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</si>
  <si>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</si>
  <si>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</si>
  <si>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</si>
  <si>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</si>
  <si>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</si>
  <si>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</si>
  <si>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</si>
  <si>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</si>
  <si>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</si>
  <si>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</si>
  <si>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</si>
  <si>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</si>
  <si>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</si>
  <si>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</si>
  <si>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</si>
  <si>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</si>
  <si>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</si>
  <si>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</si>
  <si>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</si>
  <si>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</si>
  <si>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</si>
  <si>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</si>
  <si>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</si>
  <si>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</si>
  <si>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</si>
  <si>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</si>
  <si>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</si>
  <si>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</si>
  <si>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</si>
  <si>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</si>
  <si>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</si>
  <si>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</si>
  <si>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</si>
  <si>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</si>
  <si>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</si>
  <si>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</si>
  <si>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</si>
  <si>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</si>
  <si>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</si>
  <si>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</si>
  <si>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</si>
  <si>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</si>
  <si>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</si>
  <si>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</si>
  <si>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</si>
  <si>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</si>
  <si>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</si>
  <si>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</si>
  <si>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</si>
  <si>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</si>
  <si>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</si>
  <si>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</si>
  <si>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</si>
  <si>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</si>
  <si>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</si>
  <si>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</si>
  <si>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</si>
  <si>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</si>
  <si>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</si>
  <si>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</si>
  <si>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</si>
  <si>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</si>
  <si>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</si>
  <si>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</si>
  <si>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</si>
  <si>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</si>
  <si>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</si>
  <si>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</si>
  <si>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</si>
  <si>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</si>
  <si>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</si>
  <si>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</si>
  <si>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</si>
  <si>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</si>
  <si>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</si>
  <si>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</si>
  <si>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</si>
  <si>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</si>
  <si>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</si>
  <si>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</si>
  <si>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</si>
  <si>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</si>
  <si>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</si>
  <si>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</si>
  <si>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</si>
  <si>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</si>
  <si>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</si>
  <si>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</si>
  <si>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</si>
  <si>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</si>
  <si>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</si>
  <si>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</si>
  <si>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</si>
  <si>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</si>
  <si>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</si>
  <si>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</si>
  <si>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</si>
  <si>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</si>
  <si>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</si>
  <si>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</si>
  <si>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</si>
  <si>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</si>
  <si>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</si>
  <si>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</si>
  <si>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</si>
  <si>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</si>
  <si>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</si>
  <si>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</si>
  <si>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</si>
  <si>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</si>
  <si>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</si>
  <si>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</si>
  <si>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</si>
  <si>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</si>
  <si>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</si>
  <si>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</si>
  <si>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</si>
  <si>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</si>
  <si>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</si>
  <si>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</si>
  <si>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</si>
  <si>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</si>
  <si>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</si>
  <si>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</si>
  <si>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</si>
  <si>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</si>
  <si>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</si>
  <si>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</si>
  <si>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</si>
  <si>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</si>
  <si>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</si>
  <si>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</si>
  <si>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</si>
  <si>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</si>
  <si>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</si>
  <si>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</si>
  <si>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</si>
  <si>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</si>
  <si>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</si>
  <si>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</si>
  <si>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</si>
  <si>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</si>
  <si>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</si>
  <si>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</si>
  <si>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</si>
  <si>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</si>
  <si>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</si>
  <si>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</si>
  <si>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</si>
  <si>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</si>
  <si>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</si>
  <si>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</si>
  <si>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</si>
  <si>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</si>
  <si>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</si>
  <si>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</si>
  <si>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</si>
  <si>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</si>
  <si>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</si>
  <si>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</si>
  <si>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</si>
  <si>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</si>
  <si>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</si>
  <si>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</si>
  <si>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</si>
  <si>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</si>
  <si>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</si>
  <si>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</si>
  <si>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</si>
  <si>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</si>
  <si>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</si>
  <si>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</si>
  <si>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</si>
  <si>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</si>
  <si>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</si>
  <si>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</si>
  <si>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</si>
  <si>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</si>
  <si>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</si>
  <si>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</si>
  <si>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</si>
  <si>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</si>
  <si>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</si>
  <si>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</si>
  <si>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</si>
  <si>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</si>
  <si>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</si>
  <si>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</si>
  <si>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</si>
  <si>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</si>
  <si>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SynQor, Inc.</t>
  </si>
  <si>
    <t>Howard Cyker</t>
  </si>
  <si>
    <t>componentengineering@synqor.com</t>
  </si>
  <si>
    <t>978-849-0600</t>
  </si>
  <si>
    <t>Director of Quality and Reliability</t>
  </si>
  <si>
    <t>http://www.synqor.com/documents/legal/SupplierTsAndCs.pdf</t>
  </si>
  <si>
    <t>CID002568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</si>
</sst>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0" fillId="0" borderId="0" xfId="0" applyNumberFormat="1" applyFont="1" applyFill="1" applyBorder="1" applyAlignment="1" applyProtection="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6"/>
      <c r="B2" s="38" t="s">
        <v>870</v>
      </c>
      <c r="C2" s="36"/>
      <c r="D2" s="208"/>
      <c r="E2" s="3"/>
      <c r="F2" s="36"/>
      <c r="G2" s="34"/>
    </row>
    <row r="3" spans="1:7">
      <c r="A3" s="356"/>
      <c r="B3" s="5" t="s">
        <v>862</v>
      </c>
      <c r="C3" s="6"/>
      <c r="D3" s="209"/>
      <c r="E3" s="3"/>
      <c r="F3" s="6"/>
      <c r="G3" s="34"/>
    </row>
    <row r="4" spans="1:7" ht="15.75">
      <c r="A4" s="356"/>
      <c r="B4" s="41" t="s">
        <v>872</v>
      </c>
      <c r="C4" s="7"/>
      <c r="D4" s="210"/>
      <c r="E4" s="3"/>
      <c r="F4" s="7"/>
      <c r="G4" s="34"/>
    </row>
    <row r="5" spans="1:7">
      <c r="A5" s="356"/>
      <c r="B5" s="40" t="s">
        <v>1063</v>
      </c>
      <c r="C5" s="4"/>
      <c r="D5" s="211"/>
      <c r="E5" s="3"/>
      <c r="F5" s="4"/>
      <c r="G5" s="34"/>
    </row>
    <row r="6" spans="1:7">
      <c r="A6" s="356"/>
      <c r="B6" s="8"/>
      <c r="C6" s="8"/>
      <c r="D6" s="212"/>
      <c r="E6" s="8"/>
      <c r="F6" s="8"/>
      <c r="G6" s="34"/>
    </row>
    <row r="7" spans="1:7">
      <c r="A7" s="356"/>
      <c r="B7" s="8"/>
      <c r="C7" s="8"/>
      <c r="D7" s="212"/>
      <c r="E7" s="8"/>
      <c r="F7" s="8"/>
      <c r="G7" s="34"/>
    </row>
    <row r="8" spans="1:7">
      <c r="A8" s="356"/>
      <c r="B8" s="8"/>
      <c r="C8" s="8"/>
      <c r="D8" s="212"/>
      <c r="E8" s="8"/>
      <c r="F8" s="8"/>
      <c r="G8" s="34"/>
    </row>
    <row r="9" spans="1:7">
      <c r="A9" s="356"/>
      <c r="B9" s="359" t="s">
        <v>873</v>
      </c>
      <c r="C9" s="359"/>
      <c r="D9" s="359"/>
      <c r="E9" s="359"/>
      <c r="F9" s="359"/>
      <c r="G9" s="34"/>
    </row>
    <row r="10" spans="1:7" ht="27" customHeight="1">
      <c r="A10" s="356"/>
      <c r="B10" s="360" t="s">
        <v>448</v>
      </c>
      <c r="C10" s="360"/>
      <c r="D10" s="360"/>
      <c r="E10" s="360"/>
      <c r="F10" s="360"/>
      <c r="G10" s="34"/>
    </row>
    <row r="11" spans="1:7" ht="27" customHeight="1">
      <c r="A11" s="356"/>
      <c r="B11" s="361"/>
      <c r="C11" s="361"/>
      <c r="D11" s="361"/>
      <c r="E11" s="361"/>
      <c r="F11" s="361"/>
      <c r="G11" s="34"/>
    </row>
    <row r="12" spans="1:7">
      <c r="A12" s="356"/>
      <c r="B12" s="42" t="s">
        <v>871</v>
      </c>
      <c r="C12" s="43" t="s">
        <v>874</v>
      </c>
      <c r="D12" s="213" t="s">
        <v>875</v>
      </c>
      <c r="E12" s="43" t="s">
        <v>628</v>
      </c>
      <c r="F12" s="43" t="s">
        <v>629</v>
      </c>
      <c r="G12" s="34"/>
    </row>
    <row r="13" spans="1:7" ht="33.75">
      <c r="A13" s="356"/>
      <c r="B13" s="2">
        <v>1</v>
      </c>
      <c r="C13" s="37" t="s">
        <v>1111</v>
      </c>
      <c r="D13" s="39" t="s">
        <v>899</v>
      </c>
      <c r="E13" s="196" t="s">
        <v>876</v>
      </c>
      <c r="F13" s="196"/>
      <c r="G13" s="34"/>
    </row>
    <row r="14" spans="1:7" ht="33.75">
      <c r="A14" s="356"/>
      <c r="B14" s="2">
        <v>2</v>
      </c>
      <c r="C14" s="37" t="s">
        <v>1111</v>
      </c>
      <c r="D14" s="39" t="s">
        <v>1048</v>
      </c>
      <c r="E14" s="196" t="s">
        <v>540</v>
      </c>
      <c r="F14" s="196" t="s">
        <v>541</v>
      </c>
      <c r="G14" s="34"/>
    </row>
    <row r="15" spans="1:7" ht="89.1" customHeight="1">
      <c r="A15" s="356"/>
      <c r="B15" s="362">
        <v>2.0099999999999998</v>
      </c>
      <c r="C15" s="353" t="s">
        <v>1111</v>
      </c>
      <c r="D15" s="365" t="s">
        <v>2358</v>
      </c>
      <c r="E15" s="197" t="s">
        <v>630</v>
      </c>
      <c r="F15" s="197" t="s">
        <v>633</v>
      </c>
      <c r="G15" s="34"/>
    </row>
    <row r="16" spans="1:7" ht="99" customHeight="1">
      <c r="A16" s="356"/>
      <c r="B16" s="363"/>
      <c r="C16" s="354"/>
      <c r="D16" s="366"/>
      <c r="E16" s="198"/>
      <c r="F16" s="198" t="s">
        <v>631</v>
      </c>
      <c r="G16" s="34"/>
    </row>
    <row r="17" spans="1:7" ht="63" customHeight="1">
      <c r="A17" s="356"/>
      <c r="B17" s="364"/>
      <c r="C17" s="355"/>
      <c r="D17" s="367"/>
      <c r="E17" s="37"/>
      <c r="F17" s="37" t="s">
        <v>632</v>
      </c>
      <c r="G17" s="34"/>
    </row>
    <row r="18" spans="1:7" ht="117" customHeight="1">
      <c r="A18" s="356"/>
      <c r="B18" s="362">
        <v>2.02</v>
      </c>
      <c r="C18" s="353" t="s">
        <v>1111</v>
      </c>
      <c r="D18" s="365" t="s">
        <v>2359</v>
      </c>
      <c r="E18" s="197" t="s">
        <v>449</v>
      </c>
      <c r="F18" s="197" t="s">
        <v>535</v>
      </c>
      <c r="G18" s="34"/>
    </row>
    <row r="19" spans="1:7" ht="71.099999999999994" customHeight="1">
      <c r="A19" s="356"/>
      <c r="B19" s="363"/>
      <c r="C19" s="354"/>
      <c r="D19" s="366"/>
      <c r="E19" s="198" t="s">
        <v>539</v>
      </c>
      <c r="F19" s="198" t="s">
        <v>450</v>
      </c>
      <c r="G19" s="34"/>
    </row>
    <row r="20" spans="1:7" ht="90.75" customHeight="1">
      <c r="A20" s="356"/>
      <c r="B20" s="363"/>
      <c r="C20" s="354"/>
      <c r="D20" s="366"/>
      <c r="E20" s="198"/>
      <c r="F20" s="198" t="s">
        <v>635</v>
      </c>
      <c r="G20" s="34"/>
    </row>
    <row r="21" spans="1:7" ht="74.25" customHeight="1">
      <c r="A21" s="356"/>
      <c r="B21" s="364"/>
      <c r="C21" s="355"/>
      <c r="D21" s="367"/>
      <c r="E21" s="37"/>
      <c r="F21" s="37" t="s">
        <v>634</v>
      </c>
      <c r="G21" s="34"/>
    </row>
    <row r="22" spans="1:7" ht="90" customHeight="1">
      <c r="A22" s="356"/>
      <c r="B22" s="347">
        <v>2.0299999999999998</v>
      </c>
      <c r="C22" s="347" t="s">
        <v>845</v>
      </c>
      <c r="D22" s="350" t="s">
        <v>2360</v>
      </c>
      <c r="E22" s="353" t="s">
        <v>447</v>
      </c>
      <c r="F22" s="197" t="s">
        <v>470</v>
      </c>
      <c r="G22" s="34"/>
    </row>
    <row r="23" spans="1:7" ht="109.5" customHeight="1">
      <c r="A23" s="356"/>
      <c r="B23" s="348"/>
      <c r="C23" s="348"/>
      <c r="D23" s="351"/>
      <c r="E23" s="354"/>
      <c r="F23" s="198" t="s">
        <v>846</v>
      </c>
      <c r="G23" s="34"/>
    </row>
    <row r="24" spans="1:7" ht="74.25" customHeight="1">
      <c r="A24" s="356"/>
      <c r="B24" s="349"/>
      <c r="C24" s="349"/>
      <c r="D24" s="352"/>
      <c r="E24" s="355"/>
      <c r="F24" s="37" t="s">
        <v>446</v>
      </c>
      <c r="G24" s="34"/>
    </row>
    <row r="25" spans="1:7" ht="72" customHeight="1">
      <c r="A25" s="356"/>
      <c r="B25" s="2" t="s">
        <v>468</v>
      </c>
      <c r="C25" s="37" t="s">
        <v>469</v>
      </c>
      <c r="D25" s="39" t="s">
        <v>2361</v>
      </c>
      <c r="E25" s="37" t="s">
        <v>2356</v>
      </c>
      <c r="F25" s="37" t="s">
        <v>471</v>
      </c>
      <c r="G25" s="34"/>
    </row>
    <row r="26" spans="1:7" ht="98.1" customHeight="1">
      <c r="A26" s="356"/>
      <c r="B26" s="368">
        <v>3</v>
      </c>
      <c r="C26" s="362" t="s">
        <v>72</v>
      </c>
      <c r="D26" s="365" t="s">
        <v>2362</v>
      </c>
      <c r="E26" s="353" t="s">
        <v>0</v>
      </c>
      <c r="F26" s="197" t="s">
        <v>66</v>
      </c>
      <c r="G26" s="34"/>
    </row>
    <row r="27" spans="1:7" ht="90" customHeight="1">
      <c r="A27" s="356"/>
      <c r="B27" s="369"/>
      <c r="C27" s="363"/>
      <c r="D27" s="366"/>
      <c r="E27" s="354"/>
      <c r="F27" s="198" t="s">
        <v>61</v>
      </c>
      <c r="G27" s="34"/>
    </row>
    <row r="28" spans="1:7" ht="19.350000000000001" customHeight="1">
      <c r="A28" s="356"/>
      <c r="B28" s="369"/>
      <c r="C28" s="363"/>
      <c r="D28" s="366"/>
      <c r="E28" s="354"/>
      <c r="F28" s="198" t="s">
        <v>62</v>
      </c>
      <c r="G28" s="34"/>
    </row>
    <row r="29" spans="1:7" ht="74.45" customHeight="1">
      <c r="A29" s="356"/>
      <c r="B29" s="369"/>
      <c r="C29" s="363"/>
      <c r="D29" s="366"/>
      <c r="E29" s="354"/>
      <c r="F29" s="198" t="s">
        <v>63</v>
      </c>
      <c r="G29" s="34"/>
    </row>
    <row r="30" spans="1:7" ht="62.45" customHeight="1">
      <c r="A30" s="356"/>
      <c r="B30" s="369"/>
      <c r="C30" s="363"/>
      <c r="D30" s="366"/>
      <c r="E30" s="354"/>
      <c r="F30" s="198" t="s">
        <v>64</v>
      </c>
      <c r="G30" s="34"/>
    </row>
    <row r="31" spans="1:7" ht="81" customHeight="1">
      <c r="A31" s="356"/>
      <c r="B31" s="369"/>
      <c r="C31" s="363"/>
      <c r="D31" s="366"/>
      <c r="E31" s="354"/>
      <c r="F31" s="198" t="s">
        <v>65</v>
      </c>
      <c r="G31" s="34"/>
    </row>
    <row r="32" spans="1:7" ht="48.75" customHeight="1">
      <c r="A32" s="356"/>
      <c r="B32" s="369"/>
      <c r="C32" s="363"/>
      <c r="D32" s="366"/>
      <c r="E32" s="354"/>
      <c r="F32" s="198" t="s">
        <v>68</v>
      </c>
      <c r="G32" s="34"/>
    </row>
    <row r="33" spans="1:7" ht="98.45" customHeight="1">
      <c r="A33" s="356"/>
      <c r="B33" s="369"/>
      <c r="C33" s="363"/>
      <c r="D33" s="366"/>
      <c r="E33" s="354"/>
      <c r="F33" s="198" t="s">
        <v>67</v>
      </c>
      <c r="G33" s="34"/>
    </row>
    <row r="34" spans="1:7" ht="89.1" customHeight="1">
      <c r="A34" s="356"/>
      <c r="B34" s="369"/>
      <c r="C34" s="363"/>
      <c r="D34" s="366"/>
      <c r="E34" s="354"/>
      <c r="F34" s="198" t="s">
        <v>69</v>
      </c>
      <c r="G34" s="34"/>
    </row>
    <row r="35" spans="1:7" ht="29.1" customHeight="1">
      <c r="A35" s="356"/>
      <c r="B35" s="369"/>
      <c r="C35" s="363"/>
      <c r="D35" s="366"/>
      <c r="E35" s="354"/>
      <c r="F35" s="198" t="s">
        <v>70</v>
      </c>
      <c r="G35" s="34"/>
    </row>
    <row r="36" spans="1:7" ht="126.75">
      <c r="A36" s="356"/>
      <c r="B36" s="370"/>
      <c r="C36" s="364"/>
      <c r="D36" s="367"/>
      <c r="E36" s="355"/>
      <c r="F36" s="199" t="s">
        <v>71</v>
      </c>
      <c r="G36" s="34"/>
    </row>
    <row r="37" spans="1:7" ht="112.5">
      <c r="A37" s="356"/>
      <c r="B37" s="171">
        <v>3.01</v>
      </c>
      <c r="C37" s="172" t="s">
        <v>72</v>
      </c>
      <c r="D37" s="39" t="s">
        <v>2363</v>
      </c>
      <c r="E37" s="200" t="s">
        <v>1351</v>
      </c>
      <c r="F37" s="201" t="s">
        <v>1457</v>
      </c>
      <c r="G37" s="34"/>
    </row>
    <row r="38" spans="1:7" ht="101.25">
      <c r="A38" s="356"/>
      <c r="B38" s="171">
        <v>3.02</v>
      </c>
      <c r="C38" s="172" t="s">
        <v>1384</v>
      </c>
      <c r="D38" s="39" t="s">
        <v>2364</v>
      </c>
      <c r="E38" s="200" t="s">
        <v>1399</v>
      </c>
      <c r="F38" s="201" t="s">
        <v>1458</v>
      </c>
      <c r="G38" s="34"/>
    </row>
    <row r="39" spans="1:7" ht="101.25">
      <c r="A39" s="356"/>
      <c r="B39" s="182">
        <v>4</v>
      </c>
      <c r="C39" s="181" t="s">
        <v>1554</v>
      </c>
      <c r="D39" s="39" t="s">
        <v>2365</v>
      </c>
      <c r="E39" s="37" t="s">
        <v>2307</v>
      </c>
      <c r="F39" s="37" t="s">
        <v>1555</v>
      </c>
      <c r="G39" s="34"/>
    </row>
    <row r="40" spans="1:7" ht="56.25">
      <c r="A40" s="356"/>
      <c r="B40" s="171">
        <v>4.01</v>
      </c>
      <c r="C40" s="181" t="s">
        <v>1554</v>
      </c>
      <c r="D40" s="39" t="s">
        <v>2367</v>
      </c>
      <c r="E40" s="37" t="s">
        <v>2321</v>
      </c>
      <c r="F40" s="37" t="s">
        <v>2326</v>
      </c>
      <c r="G40" s="34"/>
    </row>
    <row r="41" spans="1:7" ht="56.25">
      <c r="A41" s="356"/>
      <c r="B41" s="171" t="s">
        <v>2354</v>
      </c>
      <c r="C41" s="181" t="s">
        <v>1554</v>
      </c>
      <c r="D41" s="39" t="s">
        <v>2366</v>
      </c>
      <c r="E41" s="37" t="s">
        <v>2357</v>
      </c>
      <c r="F41" s="37" t="s">
        <v>2355</v>
      </c>
      <c r="G41" s="34"/>
    </row>
    <row r="42" spans="1:7" ht="56.25">
      <c r="A42" s="356"/>
      <c r="B42" s="171" t="s">
        <v>2399</v>
      </c>
      <c r="C42" s="181" t="s">
        <v>1554</v>
      </c>
      <c r="D42" s="39" t="s">
        <v>2406</v>
      </c>
      <c r="E42" s="37" t="s">
        <v>2356</v>
      </c>
      <c r="F42" s="37" t="s">
        <v>2400</v>
      </c>
      <c r="G42" s="34"/>
    </row>
    <row r="43" spans="1:7" ht="123.75">
      <c r="A43" s="356"/>
      <c r="B43" s="193">
        <v>4.0999999999999996</v>
      </c>
      <c r="C43" s="181" t="s">
        <v>2405</v>
      </c>
      <c r="D43" s="194">
        <v>42867</v>
      </c>
      <c r="E43" s="202" t="s">
        <v>2408</v>
      </c>
      <c r="F43" s="37" t="s">
        <v>2407</v>
      </c>
      <c r="G43" s="34"/>
    </row>
    <row r="44" spans="1:7" ht="78.75">
      <c r="A44" s="356"/>
      <c r="B44" s="193">
        <v>4.2</v>
      </c>
      <c r="C44" s="181" t="s">
        <v>2405</v>
      </c>
      <c r="D44" s="194">
        <v>42704</v>
      </c>
      <c r="E44" s="202" t="s">
        <v>2625</v>
      </c>
      <c r="F44" s="37" t="s">
        <v>2598</v>
      </c>
      <c r="G44" s="34"/>
    </row>
    <row r="45" spans="1:7" ht="157.5">
      <c r="A45" s="356"/>
      <c r="B45" s="243">
        <v>5</v>
      </c>
      <c r="C45" s="181" t="s">
        <v>2405</v>
      </c>
      <c r="D45" s="194">
        <v>42867</v>
      </c>
      <c r="E45" s="202" t="s">
        <v>13032</v>
      </c>
      <c r="F45" s="37" t="s">
        <v>12754</v>
      </c>
      <c r="G45" s="34"/>
    </row>
    <row r="46" spans="1:7" ht="45">
      <c r="A46" s="356"/>
      <c r="B46" s="193">
        <v>5.01</v>
      </c>
      <c r="C46" s="181" t="s">
        <v>2405</v>
      </c>
      <c r="D46" s="194">
        <v>42907</v>
      </c>
      <c r="E46" s="202" t="s">
        <v>13052</v>
      </c>
      <c r="F46" s="37" t="s">
        <v>12754</v>
      </c>
      <c r="G46" s="34"/>
    </row>
    <row r="47" spans="1:7" ht="67.5">
      <c r="A47" s="356"/>
      <c r="B47" s="193">
        <v>5.0999999999999996</v>
      </c>
      <c r="C47" s="181" t="s">
        <v>2405</v>
      </c>
      <c r="D47" s="194">
        <v>43070</v>
      </c>
      <c r="E47" s="202" t="s">
        <v>13247</v>
      </c>
      <c r="F47" s="37" t="s">
        <v>13248</v>
      </c>
      <c r="G47" s="34"/>
    </row>
    <row r="48" spans="1:7" ht="56.25">
      <c r="A48" s="356"/>
      <c r="B48" s="193">
        <v>5.1100000000000003</v>
      </c>
      <c r="C48" s="181" t="s">
        <v>13489</v>
      </c>
      <c r="D48" s="194">
        <v>43217</v>
      </c>
      <c r="E48" s="202" t="s">
        <v>13617</v>
      </c>
      <c r="F48" s="37" t="s">
        <v>13523</v>
      </c>
      <c r="G48" s="34"/>
    </row>
    <row r="49" spans="1:7" ht="56.25">
      <c r="A49" s="356"/>
      <c r="B49" s="193">
        <v>5.12</v>
      </c>
      <c r="C49" s="181" t="s">
        <v>13489</v>
      </c>
      <c r="D49" s="194">
        <v>43581</v>
      </c>
      <c r="E49" s="202" t="s">
        <v>13617</v>
      </c>
      <c r="F49" s="37" t="s">
        <v>14191</v>
      </c>
      <c r="G49" s="34"/>
    </row>
    <row r="50" spans="1:7" ht="78.75">
      <c r="A50" s="356"/>
      <c r="B50" s="243">
        <v>6</v>
      </c>
      <c r="C50" s="181" t="s">
        <v>13489</v>
      </c>
      <c r="D50" s="194">
        <v>43964</v>
      </c>
      <c r="E50" s="202" t="s">
        <v>14433</v>
      </c>
      <c r="F50" s="37" t="s">
        <v>14204</v>
      </c>
      <c r="G50" s="34"/>
    </row>
    <row r="51" spans="1:7" ht="45">
      <c r="A51" s="356"/>
      <c r="B51" s="193">
        <v>6.01</v>
      </c>
      <c r="C51" s="181" t="s">
        <v>13489</v>
      </c>
      <c r="D51" s="194">
        <v>43970</v>
      </c>
      <c r="E51" s="202" t="s">
        <v>15503</v>
      </c>
      <c r="F51" s="202" t="s">
        <v>14204</v>
      </c>
      <c r="G51" s="34"/>
    </row>
    <row r="52" spans="1:7" ht="13.5" thickBot="1">
      <c r="A52" s="357"/>
      <c r="B52" s="358" t="str">
        <f ca="1">OFFSET(L!$C$1,MATCH("General"&amp;"Cpy",L!$A:$A,0)-1,SL,,)</f>
        <v>© 2020 Responsible Minerals Initiative. All rights reserved.</v>
      </c>
      <c r="C52" s="358"/>
      <c r="D52" s="358"/>
      <c r="E52" s="358"/>
      <c r="F52" s="358"/>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N7PgLK/b6qSiRuYP6IJLKKaehwHeb2EDWc30L70AJshd7Eh0gJlg69QmEgS1UyLI/0APEgOkC1FmRYjugKO/ww==" saltValue="w7I/A/hb6qUhO8umuFiG7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1"/>
      <c r="B1" s="372"/>
      <c r="C1" s="372"/>
      <c r="D1" s="373"/>
    </row>
    <row r="2" spans="1:5" ht="71.25" customHeight="1">
      <c r="A2" s="87"/>
      <c r="B2" s="167" t="str">
        <f ca="1">OFFSET(L!$C$1,MATCH("Definitions"&amp;ADDRESS(ROW(),COLUMN(),4),L!$A:$A,0)-1,SL,,)</f>
        <v>ITEM</v>
      </c>
      <c r="C2" s="167" t="str">
        <f ca="1">OFFSET(L!$C$1,MATCH("Definitions"&amp;ADDRESS(ROW(),COLUMN(),4),L!$A:$A,0)-1,SL,,)</f>
        <v>DEFINITION</v>
      </c>
      <c r="D2" s="375"/>
      <c r="E2" s="127"/>
    </row>
    <row r="3" spans="1:5" ht="63.95" customHeight="1">
      <c r="A3" s="87"/>
      <c r="B3" s="74" t="str">
        <f ca="1">OFFSET(L!$C$1,MATCH("Definitions"&amp;ADDRESS(ROW(),COLUMN(),4),L!$A:$A,0)-1,SL,,)</f>
        <v>3TG</v>
      </c>
      <c r="C3" s="74" t="str">
        <f ca="1">OFFSET(L!$C$1,MATCH("Definitions"&amp;ADDRESS(ROW(),COLUMN(),4),L!$A:$A,0)-1,SL,,)</f>
        <v>Tantalum, tin, tungsten, gold</v>
      </c>
      <c r="D3" s="375"/>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5"/>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5"/>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5"/>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5"/>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5"/>
      <c r="E9" s="128" t="s">
        <v>1336</v>
      </c>
    </row>
    <row r="10" spans="1:5" ht="45">
      <c r="A10" s="87"/>
      <c r="B10" s="74" t="str">
        <f ca="1">OFFSET(L!$C$1,MATCH("Definitions"&amp;ADDRESS(ROW(),COLUMN(),4),L!$A:$A,0)-1,SL,,)</f>
        <v>DRC</v>
      </c>
      <c r="C10" s="74" t="str">
        <f ca="1">OFFSET(L!$C$1,MATCH("Definitions"&amp;ADDRESS(ROW(),COLUMN(),4),L!$A:$A,0)-1,SL,,)</f>
        <v>Democratic Republic of Congo</v>
      </c>
      <c r="D10" s="375"/>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5"/>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5"/>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5"/>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5"/>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5"/>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5"/>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5"/>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5"/>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5"/>
      <c r="E20" s="128"/>
    </row>
    <row r="21" spans="1:5" ht="15">
      <c r="A21" s="87"/>
      <c r="B21" s="74" t="str">
        <f ca="1">OFFSET(L!$C$1,MATCH("Definitions"&amp;ADDRESS(ROW(),COLUMN(),4),L!$A:$A,0)-1,SL,,)</f>
        <v>RBA</v>
      </c>
      <c r="C21" s="74" t="str">
        <f ca="1">OFFSET(L!$C$1,MATCH("Definitions"&amp;ADDRESS(ROW(),COLUMN(),4),L!$A:$A,0)-1,SL,,)</f>
        <v>Responsible Business Alliance (www.responsiblebusiness.org)</v>
      </c>
      <c r="D21" s="37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5"/>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5"/>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5"/>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5"/>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5"/>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5"/>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5"/>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5"/>
      <c r="E31" s="128"/>
    </row>
    <row r="32" spans="1:5" ht="15">
      <c r="A32" s="87"/>
      <c r="B32" s="374" t="str">
        <f ca="1">OFFSET(L!$C$1,MATCH("General"&amp;"Cpy",L!$A:$A,0)-1,SL,,)</f>
        <v>© 2020 Responsible Minerals Initiative. All rights reserved.</v>
      </c>
      <c r="C32" s="374"/>
      <c r="D32" s="375"/>
      <c r="E32" s="128"/>
    </row>
    <row r="33" spans="1:4" ht="13.5" thickBot="1">
      <c r="A33" s="88"/>
      <c r="B33" s="185"/>
      <c r="C33" s="185"/>
      <c r="D33" s="376"/>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H80" sqref="H8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399"/>
      <c r="B1" s="400"/>
      <c r="C1" s="400"/>
      <c r="D1" s="400"/>
      <c r="E1" s="400"/>
      <c r="F1" s="400"/>
      <c r="G1" s="400"/>
      <c r="H1" s="400"/>
      <c r="I1" s="400"/>
      <c r="J1" s="400"/>
      <c r="K1" s="40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2" t="str">
        <f ca="1">OFFSET(L!$C$1,MATCH("Declaration"&amp;ADDRESS(ROW(),COLUMN(),4),L!$A:$A,0)-1,SL,,)</f>
        <v>Conflict Minerals Reporting Template (CMRT)</v>
      </c>
      <c r="E2" s="403"/>
      <c r="F2" s="403"/>
      <c r="G2" s="403"/>
      <c r="H2" s="403"/>
      <c r="I2" s="403"/>
      <c r="J2" s="40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2"/>
      <c r="G3" s="412"/>
      <c r="H3" s="412"/>
      <c r="I3" s="184"/>
      <c r="J3" s="168" t="s">
        <v>15505</v>
      </c>
      <c r="K3" s="47"/>
      <c r="L3" s="139"/>
      <c r="M3" s="130"/>
      <c r="N3" s="130"/>
      <c r="O3" s="131"/>
      <c r="P3" s="144">
        <f>MATCH($D$3,LN,0)</f>
        <v>1</v>
      </c>
    </row>
    <row r="4" spans="1:34" ht="15.75">
      <c r="A4" s="45"/>
      <c r="B4" s="408" t="str">
        <f ca="1">OFFSET(L!$C$1,MATCH("Declaration"&amp;ADDRESS(ROW(),COLUMN(),4),L!$A:$A,0)-1,SL,,)</f>
        <v>The purpose of this document is to collect sourcing information on tin, tantalum, tungsten and gold used in products</v>
      </c>
      <c r="C4" s="408"/>
      <c r="D4" s="408"/>
      <c r="E4" s="408"/>
      <c r="F4" s="408"/>
      <c r="G4" s="408"/>
      <c r="H4" s="408"/>
      <c r="I4" s="413" t="str">
        <f ca="1">OFFSET(L!$C$1,MATCH("Declaration"&amp;ADDRESS(ROW(),COLUMN(),4),L!$A:$A,0)-1,SL,,)</f>
        <v>Link to Terms &amp; Conditions</v>
      </c>
      <c r="J4" s="41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8" t="str">
        <f ca="1">OFFSET(L!$C$1,MATCH("Declaration"&amp;ADDRESS(ROW(),COLUMN(),4),L!$A:$A,0)-1,SL,,)</f>
        <v>Mandatory fields are noted with an asterisk (*).  Consult the instructions tab for guidance on how to answer each question.</v>
      </c>
      <c r="C6" s="408"/>
      <c r="D6" s="408"/>
      <c r="E6" s="408"/>
      <c r="F6" s="408"/>
      <c r="G6" s="408"/>
      <c r="H6" s="408"/>
      <c r="I6" s="408"/>
      <c r="J6" s="408"/>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7" t="str">
        <f ca="1">OFFSET(L!$C$1,MATCH("Declaration"&amp;ADDRESS(ROW(),COLUMN(),4),L!$A:$A,0)-1,SL,,)</f>
        <v>Company Information</v>
      </c>
      <c r="C7" s="417"/>
      <c r="D7" s="417"/>
      <c r="E7" s="417"/>
      <c r="F7" s="417"/>
      <c r="G7" s="417"/>
      <c r="H7" s="417"/>
      <c r="I7" s="417"/>
      <c r="J7" s="41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5" t="s">
        <v>15506</v>
      </c>
      <c r="E8" s="406"/>
      <c r="F8" s="406"/>
      <c r="G8" s="406"/>
      <c r="H8" s="406"/>
      <c r="I8" s="406"/>
      <c r="J8" s="40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4" t="s">
        <v>504</v>
      </c>
      <c r="E9" s="415"/>
      <c r="F9" s="415"/>
      <c r="G9" s="416"/>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8" t="str">
        <f ca="1">OFFSET(L!$C$1,MATCH("Declaration"&amp;ADDRESS(ROW(),COLUMN(),4)&amp;LEFT($D$9,1),L!$A:$A,0)-1,SL,,)</f>
        <v>Description of Scope:</v>
      </c>
      <c r="C10" s="151"/>
      <c r="D10" s="409"/>
      <c r="E10" s="410"/>
      <c r="F10" s="410"/>
      <c r="G10" s="410"/>
      <c r="H10" s="410"/>
      <c r="I10" s="410"/>
      <c r="J10" s="41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19"/>
      <c r="C11" s="151"/>
      <c r="D11" s="428" t="str">
        <f ca="1">IF(D9=Q9,OFFSET(L!$C$1,MATCH("Declaration"&amp;ADDRESS(ROW(),COLUMN(),4),L!$A:$A,0)-1,SL,,),"")</f>
        <v/>
      </c>
      <c r="E11" s="429"/>
      <c r="F11" s="429"/>
      <c r="G11" s="429"/>
      <c r="H11" s="429"/>
      <c r="I11" s="429"/>
      <c r="J11" s="43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1"/>
      <c r="E12" s="392"/>
      <c r="F12" s="392"/>
      <c r="G12" s="392"/>
      <c r="H12" s="392"/>
      <c r="I12" s="392"/>
      <c r="J12" s="39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1"/>
      <c r="E13" s="392"/>
      <c r="F13" s="392"/>
      <c r="G13" s="392"/>
      <c r="H13" s="392"/>
      <c r="I13" s="392"/>
      <c r="J13" s="39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1"/>
      <c r="E14" s="392"/>
      <c r="F14" s="392"/>
      <c r="G14" s="392"/>
      <c r="H14" s="392"/>
      <c r="I14" s="392"/>
      <c r="J14" s="39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1" t="s">
        <v>15507</v>
      </c>
      <c r="E15" s="392"/>
      <c r="F15" s="392"/>
      <c r="G15" s="392"/>
      <c r="H15" s="392"/>
      <c r="I15" s="392"/>
      <c r="J15" s="39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0" t="s">
        <v>15508</v>
      </c>
      <c r="E16" s="421"/>
      <c r="F16" s="421"/>
      <c r="G16" s="421"/>
      <c r="H16" s="421"/>
      <c r="I16" s="421"/>
      <c r="J16" s="42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1" t="s">
        <v>15509</v>
      </c>
      <c r="E17" s="392"/>
      <c r="F17" s="392"/>
      <c r="G17" s="392"/>
      <c r="H17" s="392"/>
      <c r="I17" s="392"/>
      <c r="J17" s="39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1" t="s">
        <v>15507</v>
      </c>
      <c r="E18" s="392"/>
      <c r="F18" s="392"/>
      <c r="G18" s="392"/>
      <c r="H18" s="392"/>
      <c r="I18" s="392"/>
      <c r="J18" s="39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1" t="s">
        <v>15510</v>
      </c>
      <c r="E19" s="392"/>
      <c r="F19" s="392"/>
      <c r="G19" s="392"/>
      <c r="H19" s="392"/>
      <c r="I19" s="392"/>
      <c r="J19" s="39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0" t="s">
        <v>15508</v>
      </c>
      <c r="E20" s="421"/>
      <c r="F20" s="421"/>
      <c r="G20" s="421"/>
      <c r="H20" s="421"/>
      <c r="I20" s="421"/>
      <c r="J20" s="42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5" t="s">
        <v>15509</v>
      </c>
      <c r="E21" s="386"/>
      <c r="F21" s="386"/>
      <c r="G21" s="386"/>
      <c r="H21" s="386"/>
      <c r="I21" s="386"/>
      <c r="J21" s="387"/>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8">
        <v>43972</v>
      </c>
      <c r="E22" s="389"/>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5"/>
      <c r="E23" s="42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0" t="str">
        <f ca="1">OFFSET(L!$C$1,MATCH("Declaration"&amp;ADDRESS(ROW(),COLUMN(),4),L!$A:$A,0)-1,SL,,)</f>
        <v>Answer the following questions 1 - 8 based on the declaration scope indicated above</v>
      </c>
      <c r="C24" s="390"/>
      <c r="D24" s="390"/>
      <c r="E24" s="390"/>
      <c r="F24" s="390"/>
      <c r="G24" s="390"/>
      <c r="H24" s="390"/>
      <c r="I24" s="390"/>
      <c r="J24" s="390"/>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6" t="str">
        <f ca="1">OFFSET(L!$C$1,MATCH("Declaration"&amp;ADDRESS(ROW(),COLUMN(),4),L!$A:$A,0)-1,SL,,)</f>
        <v>Answer</v>
      </c>
      <c r="E25" s="426"/>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7" t="s">
        <v>498</v>
      </c>
      <c r="E26" s="378"/>
      <c r="F26" s="15"/>
      <c r="G26" s="379"/>
      <c r="H26" s="380"/>
      <c r="I26" s="380"/>
      <c r="J26" s="381"/>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7" t="s">
        <v>498</v>
      </c>
      <c r="E27" s="378"/>
      <c r="F27" s="15"/>
      <c r="G27" s="379"/>
      <c r="H27" s="380"/>
      <c r="I27" s="380"/>
      <c r="J27" s="38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7" t="s">
        <v>498</v>
      </c>
      <c r="E28" s="378"/>
      <c r="F28" s="15"/>
      <c r="G28" s="379"/>
      <c r="H28" s="380"/>
      <c r="I28" s="380"/>
      <c r="J28" s="38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7" t="s">
        <v>499</v>
      </c>
      <c r="E29" s="378"/>
      <c r="F29" s="15"/>
      <c r="G29" s="379"/>
      <c r="H29" s="380"/>
      <c r="I29" s="380"/>
      <c r="J29" s="38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4" t="str">
        <f ca="1">D25</f>
        <v>Answer</v>
      </c>
      <c r="E31" s="384"/>
      <c r="F31" s="21"/>
      <c r="G31" s="55" t="str">
        <f ca="1">G25</f>
        <v>Comments</v>
      </c>
      <c r="H31" s="55"/>
      <c r="I31" s="55"/>
      <c r="J31" s="96"/>
      <c r="K31" s="47"/>
      <c r="L31" s="136" t="s">
        <v>1266</v>
      </c>
      <c r="M31" s="130"/>
      <c r="N31" s="130"/>
      <c r="O31" s="131"/>
      <c r="P31" s="56">
        <f>COUNTIF(D$26:D$29,"No")</f>
        <v>1</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4" t="s">
        <v>498</v>
      </c>
      <c r="E32" s="395"/>
      <c r="F32" s="58"/>
      <c r="G32" s="379"/>
      <c r="H32" s="380"/>
      <c r="I32" s="380"/>
      <c r="J32" s="38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7" t="s">
        <v>498</v>
      </c>
      <c r="E33" s="378"/>
      <c r="F33" s="58"/>
      <c r="G33" s="379"/>
      <c r="H33" s="380"/>
      <c r="I33" s="380"/>
      <c r="J33" s="38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7" t="s">
        <v>498</v>
      </c>
      <c r="E34" s="378"/>
      <c r="F34" s="58"/>
      <c r="G34" s="379"/>
      <c r="H34" s="380"/>
      <c r="I34" s="380"/>
      <c r="J34" s="38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7"/>
      <c r="E35" s="378"/>
      <c r="F35" s="58"/>
      <c r="G35" s="379"/>
      <c r="H35" s="380"/>
      <c r="I35" s="380"/>
      <c r="J35" s="38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4" t="str">
        <f ca="1">D25</f>
        <v>Answer</v>
      </c>
      <c r="E37" s="384"/>
      <c r="F37" s="21"/>
      <c r="G37" s="55" t="str">
        <f ca="1">G25</f>
        <v>Comments</v>
      </c>
      <c r="H37" s="424"/>
      <c r="I37" s="424"/>
      <c r="J37" s="424"/>
      <c r="K37" s="47"/>
      <c r="L37" s="136" t="s">
        <v>1266</v>
      </c>
      <c r="M37" s="130"/>
      <c r="N37" s="130"/>
      <c r="O37" s="131"/>
      <c r="P37" s="56">
        <f>COUNTIF(D$26:D$29,"No")+COUNTIF(D$32:D$35,"No")</f>
        <v>1</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7" t="s">
        <v>499</v>
      </c>
      <c r="E38" s="378"/>
      <c r="F38" s="58"/>
      <c r="G38" s="379"/>
      <c r="H38" s="380"/>
      <c r="I38" s="380"/>
      <c r="J38" s="381"/>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7" t="s">
        <v>499</v>
      </c>
      <c r="E39" s="378"/>
      <c r="F39" s="58"/>
      <c r="G39" s="379"/>
      <c r="H39" s="380"/>
      <c r="I39" s="380"/>
      <c r="J39" s="38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7" t="s">
        <v>499</v>
      </c>
      <c r="E40" s="378"/>
      <c r="F40" s="58"/>
      <c r="G40" s="379"/>
      <c r="H40" s="380"/>
      <c r="I40" s="380"/>
      <c r="J40" s="38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7"/>
      <c r="E41" s="378"/>
      <c r="F41" s="58"/>
      <c r="G41" s="379"/>
      <c r="H41" s="380"/>
      <c r="I41" s="380"/>
      <c r="J41" s="38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4" t="str">
        <f ca="1">D25</f>
        <v>Answer</v>
      </c>
      <c r="E43" s="384"/>
      <c r="F43" s="21"/>
      <c r="G43" s="55" t="str">
        <f ca="1">G25</f>
        <v>Comments</v>
      </c>
      <c r="H43" s="55"/>
      <c r="I43" s="55"/>
      <c r="J43" s="96"/>
      <c r="K43" s="47"/>
      <c r="L43" s="136"/>
      <c r="M43" s="130"/>
      <c r="N43" s="130"/>
      <c r="O43" s="131"/>
      <c r="P43" s="56">
        <f>COUNTIF(D$26:D$29,"No")+COUNTIF(D$32:D$35,"No")</f>
        <v>1</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7" t="s">
        <v>499</v>
      </c>
      <c r="E44" s="378"/>
      <c r="F44" s="58"/>
      <c r="G44" s="379"/>
      <c r="H44" s="380"/>
      <c r="I44" s="380"/>
      <c r="J44" s="381"/>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7" t="s">
        <v>499</v>
      </c>
      <c r="E45" s="378"/>
      <c r="F45" s="58"/>
      <c r="G45" s="379"/>
      <c r="H45" s="380"/>
      <c r="I45" s="380"/>
      <c r="J45" s="38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7" t="s">
        <v>499</v>
      </c>
      <c r="E46" s="378"/>
      <c r="F46" s="58"/>
      <c r="G46" s="379"/>
      <c r="H46" s="380"/>
      <c r="I46" s="380"/>
      <c r="J46" s="38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7"/>
      <c r="E47" s="378"/>
      <c r="F47" s="58"/>
      <c r="G47" s="379"/>
      <c r="H47" s="380"/>
      <c r="I47" s="380"/>
      <c r="J47" s="38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4" t="str">
        <f ca="1">D25</f>
        <v>Answer</v>
      </c>
      <c r="E49" s="384"/>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7" t="s">
        <v>499</v>
      </c>
      <c r="E50" s="378"/>
      <c r="F50" s="58"/>
      <c r="G50" s="379"/>
      <c r="H50" s="380"/>
      <c r="I50" s="380"/>
      <c r="J50" s="38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7" t="s">
        <v>499</v>
      </c>
      <c r="E51" s="378"/>
      <c r="F51" s="58"/>
      <c r="G51" s="379"/>
      <c r="H51" s="380"/>
      <c r="I51" s="380"/>
      <c r="J51" s="38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7" t="s">
        <v>499</v>
      </c>
      <c r="E52" s="378"/>
      <c r="F52" s="58"/>
      <c r="G52" s="379"/>
      <c r="H52" s="380"/>
      <c r="I52" s="380"/>
      <c r="J52" s="38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7"/>
      <c r="E53" s="378"/>
      <c r="F53" s="58"/>
      <c r="G53" s="379"/>
      <c r="H53" s="380"/>
      <c r="I53" s="380"/>
      <c r="J53" s="38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4" t="str">
        <f ca="1">D25</f>
        <v>Answer</v>
      </c>
      <c r="E55" s="384"/>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2">
        <v>1</v>
      </c>
      <c r="E56" s="383"/>
      <c r="F56" s="58"/>
      <c r="G56" s="379"/>
      <c r="H56" s="380"/>
      <c r="I56" s="380"/>
      <c r="J56" s="38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2">
        <v>1</v>
      </c>
      <c r="E57" s="383"/>
      <c r="F57" s="58"/>
      <c r="G57" s="379"/>
      <c r="H57" s="380"/>
      <c r="I57" s="380"/>
      <c r="J57" s="38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2">
        <v>1</v>
      </c>
      <c r="E58" s="383"/>
      <c r="F58" s="58"/>
      <c r="G58" s="379"/>
      <c r="H58" s="380"/>
      <c r="I58" s="380"/>
      <c r="J58" s="38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82"/>
      <c r="E59" s="383"/>
      <c r="F59" s="58"/>
      <c r="G59" s="379"/>
      <c r="H59" s="380"/>
      <c r="I59" s="380"/>
      <c r="J59" s="38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4" t="str">
        <f ca="1">D25</f>
        <v>Answer</v>
      </c>
      <c r="E61" s="384"/>
      <c r="F61" s="21"/>
      <c r="G61" s="55" t="str">
        <f ca="1">G25</f>
        <v>Comments</v>
      </c>
      <c r="H61" s="423"/>
      <c r="I61" s="423"/>
      <c r="J61" s="423"/>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4" t="s">
        <v>498</v>
      </c>
      <c r="E62" s="395"/>
      <c r="F62" s="58"/>
      <c r="G62" s="379"/>
      <c r="H62" s="380"/>
      <c r="I62" s="380"/>
      <c r="J62" s="38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7" t="s">
        <v>498</v>
      </c>
      <c r="E63" s="378"/>
      <c r="F63" s="58"/>
      <c r="G63" s="379"/>
      <c r="H63" s="380"/>
      <c r="I63" s="380"/>
      <c r="J63" s="38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7" t="s">
        <v>498</v>
      </c>
      <c r="E64" s="378"/>
      <c r="F64" s="58"/>
      <c r="G64" s="379"/>
      <c r="H64" s="380"/>
      <c r="I64" s="380"/>
      <c r="J64" s="38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7"/>
      <c r="E65" s="378"/>
      <c r="F65" s="58"/>
      <c r="G65" s="379"/>
      <c r="H65" s="380"/>
      <c r="I65" s="380"/>
      <c r="J65" s="38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4" t="str">
        <f ca="1">D25</f>
        <v>Answer</v>
      </c>
      <c r="E67" s="384"/>
      <c r="F67" s="21"/>
      <c r="G67" s="55" t="str">
        <f ca="1">G25</f>
        <v>Comments</v>
      </c>
      <c r="H67" s="423" t="str">
        <f>IF(Q75="(*)","Click here to enter smelter names","")</f>
        <v/>
      </c>
      <c r="I67" s="423"/>
      <c r="J67" s="423"/>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7" t="s">
        <v>498</v>
      </c>
      <c r="E68" s="378"/>
      <c r="F68" s="59"/>
      <c r="G68" s="379"/>
      <c r="H68" s="380"/>
      <c r="I68" s="380"/>
      <c r="J68" s="38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7" t="s">
        <v>498</v>
      </c>
      <c r="E69" s="378"/>
      <c r="F69" s="59"/>
      <c r="G69" s="379"/>
      <c r="H69" s="380"/>
      <c r="I69" s="380"/>
      <c r="J69" s="38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7" t="s">
        <v>498</v>
      </c>
      <c r="E70" s="378"/>
      <c r="F70" s="59"/>
      <c r="G70" s="379"/>
      <c r="H70" s="380"/>
      <c r="I70" s="380"/>
      <c r="J70" s="38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7"/>
      <c r="E71" s="378"/>
      <c r="F71" s="61"/>
      <c r="G71" s="379"/>
      <c r="H71" s="380"/>
      <c r="I71" s="380"/>
      <c r="J71" s="38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7" t="str">
        <f ca="1">OFFSET(L!$C$1,MATCH("Declaration"&amp;ADDRESS(ROW(),COLUMN(),4),L!$A:$A,0)-1,SL,,)</f>
        <v>Answer the Following Questions at a Company Level</v>
      </c>
      <c r="C73" s="437"/>
      <c r="D73" s="437"/>
      <c r="E73" s="437"/>
      <c r="F73" s="437"/>
      <c r="G73" s="437"/>
      <c r="H73" s="437"/>
      <c r="I73" s="437"/>
      <c r="J73" s="437"/>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6" t="str">
        <f ca="1">D25</f>
        <v>Answer</v>
      </c>
      <c r="E74" s="426"/>
      <c r="F74" s="64"/>
      <c r="G74" s="426" t="str">
        <f ca="1">G25</f>
        <v>Comments</v>
      </c>
      <c r="H74" s="426" t="e">
        <f>HLOOKUP(SL,LT,$O74,0)</f>
        <v>#NAME?</v>
      </c>
      <c r="I74" s="426"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7" t="s">
        <v>498</v>
      </c>
      <c r="E75" s="378"/>
      <c r="F75" s="68"/>
      <c r="G75" s="379"/>
      <c r="H75" s="380"/>
      <c r="I75" s="380"/>
      <c r="J75" s="38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7"/>
      <c r="H76" s="427"/>
      <c r="I76" s="427"/>
      <c r="J76" s="427"/>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7" t="s">
        <v>498</v>
      </c>
      <c r="E77" s="378"/>
      <c r="F77" s="68"/>
      <c r="G77" s="396" t="s">
        <v>15511</v>
      </c>
      <c r="H77" s="397"/>
      <c r="I77" s="397"/>
      <c r="J77" s="398"/>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7" t="s">
        <v>498</v>
      </c>
      <c r="E79" s="378"/>
      <c r="F79" s="68"/>
      <c r="G79" s="379"/>
      <c r="H79" s="380"/>
      <c r="I79" s="380"/>
      <c r="J79" s="38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7" t="s">
        <v>498</v>
      </c>
      <c r="E81" s="378"/>
      <c r="F81" s="68"/>
      <c r="G81" s="379"/>
      <c r="H81" s="380"/>
      <c r="I81" s="380"/>
      <c r="J81" s="38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7" t="s">
        <v>15442</v>
      </c>
      <c r="E83" s="378"/>
      <c r="F83" s="68"/>
      <c r="G83" s="379"/>
      <c r="H83" s="380"/>
      <c r="I83" s="380"/>
      <c r="J83" s="38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4" t="s">
        <v>498</v>
      </c>
      <c r="E85" s="435"/>
      <c r="F85" s="68"/>
      <c r="G85" s="379"/>
      <c r="H85" s="380"/>
      <c r="I85" s="380"/>
      <c r="J85" s="38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7"/>
      <c r="H86" s="427"/>
      <c r="I86" s="427"/>
      <c r="J86" s="427"/>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7" t="s">
        <v>498</v>
      </c>
      <c r="E87" s="378"/>
      <c r="F87" s="68"/>
      <c r="G87" s="379"/>
      <c r="H87" s="380"/>
      <c r="I87" s="380"/>
      <c r="J87" s="38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6"/>
      <c r="H88" s="436"/>
      <c r="I88" s="436"/>
      <c r="J88" s="43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7" t="s">
        <v>499</v>
      </c>
      <c r="E89" s="378"/>
      <c r="F89" s="68"/>
      <c r="G89" s="379"/>
      <c r="H89" s="380"/>
      <c r="I89" s="380"/>
      <c r="J89" s="38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3" t="str">
        <f>IF(OR($D$8="",$I$3=""),"","Click here to check required fields completion")</f>
        <v/>
      </c>
      <c r="C90" s="433"/>
      <c r="D90" s="433"/>
      <c r="E90" s="433"/>
      <c r="F90" s="433"/>
      <c r="G90" s="433"/>
      <c r="H90" s="433"/>
      <c r="I90" s="433"/>
      <c r="J90" s="433"/>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1" t="str">
        <f ca="1">OFFSET(L!$C$1,MATCH("General"&amp;"Cpy",L!$A:$A,0)-1,SL,,)</f>
        <v>© 2020 Responsible Minerals Initiative. All rights reserved.</v>
      </c>
      <c r="B91" s="432"/>
      <c r="C91" s="432"/>
      <c r="D91" s="432"/>
      <c r="E91" s="432"/>
      <c r="F91" s="432"/>
      <c r="G91" s="432"/>
      <c r="H91" s="432"/>
      <c r="I91" s="432"/>
      <c r="J91" s="432"/>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PageLayoutView="55" workbookViewId="0">
      <pane ySplit="4" topLeftCell="A5" activePane="bottomLeft" state="frozen"/>
      <selection pane="bottomLeft"/>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8" t="str">
        <f ca="1">OFFSET(L!$C$1,MATCH("Smelter List"&amp;ADDRESS(ROW(),COLUMN(),4),L!$A:$A,0)-1,SL,,)</f>
        <v>Link to "RMAP Conformant Smelter List"</v>
      </c>
      <c r="K2" s="439"/>
      <c r="L2" s="439"/>
      <c r="M2" s="439"/>
      <c r="N2" s="439"/>
      <c r="O2" s="439"/>
      <c r="P2" s="234"/>
      <c r="Q2" s="235"/>
      <c r="R2" s="236"/>
      <c r="S2" s="236"/>
      <c r="T2" s="236"/>
      <c r="U2" s="267"/>
      <c r="V2" s="267"/>
      <c r="W2" s="268"/>
      <c r="X2" s="267"/>
      <c r="Y2" s="267"/>
      <c r="Z2" s="267"/>
      <c r="AH2" s="176" t="s">
        <v>498</v>
      </c>
    </row>
    <row r="3" spans="1:34" s="269" customFormat="1" ht="243.95" customHeight="1">
      <c r="A3" s="204"/>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270"/>
      <c r="G3" s="441" t="str">
        <f ca="1">OFFSET(L!$C$1,MATCH("General"&amp;"Cpy",L!$A:$A,0)-1,SL,,)</f>
        <v>© 2020 Responsible Minerals Initiative. All rights reserved.</v>
      </c>
      <c r="H3" s="441"/>
      <c r="I3" s="442"/>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450" t="s">
        <v>783</v>
      </c>
      <c r="B5" s="217" t="str">
        <f ca="1">IF(LEN(A5)=0,"",INDEX('Smelter Look-up'!$A:$A,MATCH($A5,'Smelter Look-up'!$E:$E,0)))</f>
        <v>Tin</v>
      </c>
      <c r="C5" s="221" t="str">
        <f ca="1">IF(LEN(A5)=0,"",INDEX('Smelter Look-up'!$C:$C,MATCH($A5,'Smelter Look-up'!$E:$E,0)))</f>
        <v>Alpha</v>
      </c>
      <c r="D5" s="283"/>
      <c r="E5" s="217" t="str">
        <f ca="1">IF(ISERROR($V5),"",OFFSET('Smelter Look-up'!$D$4,$V5-4,0)&amp;"")</f>
        <v>UNITED STATES OF AMERICA</v>
      </c>
      <c r="F5" s="217" t="str">
        <f ca="1">IF(ISERROR($V5),"",OFFSET('Smelter Look-up'!$E$4,$V5-4,0))</f>
        <v>CID000292</v>
      </c>
      <c r="G5" s="217" t="str">
        <f ca="1">IF(C5=$X$4,"Enter smelter details",IF(ISERROR($V5),"",OFFSET('Smelter Look-up'!$F$4,$V5-4,0)))</f>
        <v>RMI</v>
      </c>
      <c r="H5" s="218">
        <f ca="1">IF(ISERROR($V5),"",OFFSET('Smelter Look-up'!$G$4,$V5-4,0))</f>
        <v>0</v>
      </c>
      <c r="I5" s="219" t="str">
        <f ca="1">IF(ISERROR($V5),"",OFFSET('Smelter Look-up'!$H$4,$V5-4,0))</f>
        <v>Altoona</v>
      </c>
      <c r="J5" s="219" t="str">
        <f ca="1">IF(ISERROR($V5),"",OFFSET('Smelter Look-up'!$I$4,$V5-4,0))</f>
        <v>Pennsylvania</v>
      </c>
      <c r="K5" s="273"/>
      <c r="L5" s="273"/>
      <c r="M5" s="273"/>
      <c r="N5" s="273"/>
      <c r="O5" s="273"/>
      <c r="P5" s="220"/>
      <c r="Q5" s="274"/>
      <c r="R5" s="217" t="str">
        <f ca="1">IF(ISERROR($V5),"",OFFSET('Smelter Look-up'!$C$4,$V5-4,0)&amp;"")</f>
        <v>Alpha</v>
      </c>
      <c r="S5" s="225" t="str">
        <f t="shared" ref="S5" ca="1" si="0">IF(B5="","",IF(ISERROR(MATCH($E5,CL,0)),"Unknown",INDIRECT("'C'!$A$"&amp;MATCH($E5,CL,0)+1)))</f>
        <v>US</v>
      </c>
      <c r="T5" s="225" t="str">
        <f ca="1">IF(B5="","",IF(ISERROR(MATCH($J5,SorP!$B$1:$B$6230,0)),"",INDIRECT("'SorP'!$A$"&amp;MATCH($J5,SorP!$B$1:$B$6230,0))))</f>
        <v>US-PA</v>
      </c>
      <c r="U5" s="241"/>
      <c r="V5" s="275">
        <f ca="1">IF(C5="",NA(),MATCH($B5&amp;$C5,'Smelter Look-up'!$J:$J,0))</f>
        <v>356</v>
      </c>
      <c r="W5" s="276"/>
      <c r="X5" s="276">
        <f t="shared" ref="X5" ca="1" si="1">IF(AND(C5="Smelter not listed",OR(LEN(D5)=0,LEN(E5)=0)),1,0)</f>
        <v>0</v>
      </c>
      <c r="Y5" s="276"/>
      <c r="Z5" s="276"/>
      <c r="AB5" s="278" t="str">
        <f t="shared" ref="AB5" ca="1" si="2">B5&amp;C5</f>
        <v>TinAlpha</v>
      </c>
    </row>
    <row r="6" spans="1:34" s="277" customFormat="1" ht="20.100000000000001" customHeight="1">
      <c r="A6" s="450" t="s">
        <v>2403</v>
      </c>
      <c r="B6" s="217" t="str">
        <f ca="1">IF(LEN(A6)=0,"",INDEX('Smelter Look-up'!$A:$A,MATCH($A6,'Smelter Look-up'!$E:$E,0)))</f>
        <v>Tin</v>
      </c>
      <c r="C6" s="221" t="str">
        <f ca="1">IF(LEN(A6)=0,"",INDEX('Smelter Look-up'!$C:$C,MATCH($A6,'Smelter Look-up'!$E:$E,0)))</f>
        <v>Chenzhou Yunxiang Mining and Metallurgy Co., Ltd.</v>
      </c>
      <c r="D6" s="283"/>
      <c r="E6" s="217" t="str">
        <f ca="1">IF(ISERROR($V6),"",OFFSET('Smelter Look-up'!$D$4,$V6-4,0)&amp;"")</f>
        <v>CHINA</v>
      </c>
      <c r="F6" s="217" t="str">
        <f ca="1">IF(ISERROR($V6),"",OFFSET('Smelter Look-up'!$E$4,$V6-4,0))</f>
        <v>CID000228</v>
      </c>
      <c r="G6" s="217" t="str">
        <f ca="1">IF(C6=$X$4,"Enter smelter details",IF(ISERROR($V6),"",OFFSET('Smelter Look-up'!$F$4,$V6-4,0)))</f>
        <v>RMI</v>
      </c>
      <c r="H6" s="218">
        <f ca="1">IF(ISERROR($V6),"",OFFSET('Smelter Look-up'!$G$4,$V6-4,0))</f>
        <v>0</v>
      </c>
      <c r="I6" s="219" t="str">
        <f ca="1">IF(ISERROR($V6),"",OFFSET('Smelter Look-up'!$H$4,$V6-4,0))</f>
        <v>Chenzhou</v>
      </c>
      <c r="J6" s="219" t="str">
        <f ca="1">IF(ISERROR($V6),"",OFFSET('Smelter Look-up'!$I$4,$V6-4,0))</f>
        <v>Hunan Sheng</v>
      </c>
      <c r="K6" s="273"/>
      <c r="L6" s="273"/>
      <c r="M6" s="273"/>
      <c r="N6" s="273"/>
      <c r="O6" s="273"/>
      <c r="P6" s="220"/>
      <c r="Q6" s="274"/>
      <c r="R6" s="217" t="str">
        <f ca="1">IF(ISERROR($V6),"",OFFSET('Smelter Look-up'!$C$4,$V6-4,0)&amp;"")</f>
        <v>Chenzhou Yunxiang Mining and Metallurgy Co., Ltd.</v>
      </c>
      <c r="S6" s="225" t="str">
        <f t="shared" ref="S6:S37" ca="1" si="3">IF(B6="","",IF(ISERROR(MATCH($E6,CL,0)),"Unknown",INDIRECT("'C'!$A$"&amp;MATCH($E6,CL,0)+1)))</f>
        <v>CN</v>
      </c>
      <c r="T6" s="225" t="str">
        <f ca="1">IF(B6="","",IF(ISERROR(MATCH($J6,SorP!$B$1:$B$6230,0)),"",INDIRECT("'SorP'!$A$"&amp;MATCH($J6,SorP!$B$1:$B$6230,0))))</f>
        <v>CN-HN</v>
      </c>
      <c r="U6" s="241"/>
      <c r="V6" s="275">
        <f ca="1">IF(C6="",NA(),MATCH($B6&amp;$C6,'Smelter Look-up'!$J:$J,0))</f>
        <v>364</v>
      </c>
      <c r="W6" s="276"/>
      <c r="X6" s="276">
        <f t="shared" ref="X6:X37" ca="1" si="4">IF(AND(C6="Smelter not listed",OR(LEN(D6)=0,LEN(E6)=0)),1,0)</f>
        <v>0</v>
      </c>
      <c r="Y6" s="276"/>
      <c r="Z6" s="276"/>
      <c r="AB6" s="278" t="str">
        <f t="shared" ref="AB6:AB37" ca="1" si="5">B6&amp;C6</f>
        <v>TinChenzhou Yunxiang Mining and Metallurgy Co., Ltd.</v>
      </c>
    </row>
    <row r="7" spans="1:34" s="277" customFormat="1" ht="20.100000000000001" customHeight="1">
      <c r="A7" s="450" t="s">
        <v>13265</v>
      </c>
      <c r="B7" s="217" t="str">
        <f ca="1">IF(LEN(A7)=0,"",INDEX('Smelter Look-up'!$A:$A,MATCH($A7,'Smelter Look-up'!$E:$E,0)))</f>
        <v>Tin</v>
      </c>
      <c r="C7" s="221" t="str">
        <f ca="1">IF(LEN(A7)=0,"",INDEX('Smelter Look-up'!$C:$C,MATCH($A7,'Smelter Look-up'!$E:$E,0)))</f>
        <v>Chifeng Dajingzi Tin Industry Co., Ltd.</v>
      </c>
      <c r="D7" s="283"/>
      <c r="E7" s="217" t="str">
        <f ca="1">IF(ISERROR($V7),"",OFFSET('Smelter Look-up'!$D$4,$V7-4,0)&amp;"")</f>
        <v>CHINA</v>
      </c>
      <c r="F7" s="217" t="str">
        <f ca="1">IF(ISERROR($V7),"",OFFSET('Smelter Look-up'!$E$4,$V7-4,0))</f>
        <v>CID003190</v>
      </c>
      <c r="G7" s="217" t="str">
        <f ca="1">IF(C7=$X$4,"Enter smelter details",IF(ISERROR($V7),"",OFFSET('Smelter Look-up'!$F$4,$V7-4,0)))</f>
        <v>RMI</v>
      </c>
      <c r="H7" s="218">
        <f ca="1">IF(ISERROR($V7),"",OFFSET('Smelter Look-up'!$G$4,$V7-4,0))</f>
        <v>0</v>
      </c>
      <c r="I7" s="219" t="str">
        <f ca="1">IF(ISERROR($V7),"",OFFSET('Smelter Look-up'!$H$4,$V7-4,0))</f>
        <v>Chifeng</v>
      </c>
      <c r="J7" s="219" t="str">
        <f ca="1">IF(ISERROR($V7),"",OFFSET('Smelter Look-up'!$I$4,$V7-4,0))</f>
        <v>Nei Mongol Zizhiqu</v>
      </c>
      <c r="K7" s="273"/>
      <c r="L7" s="273"/>
      <c r="M7" s="273"/>
      <c r="N7" s="273"/>
      <c r="O7" s="273"/>
      <c r="P7" s="220"/>
      <c r="Q7" s="274"/>
      <c r="R7" s="217" t="str">
        <f ca="1">IF(ISERROR($V7),"",OFFSET('Smelter Look-up'!$C$4,$V7-4,0)&amp;"")</f>
        <v>Chifeng Dajingzi Tin Industry Co., Ltd.</v>
      </c>
      <c r="S7" s="225" t="str">
        <f t="shared" ca="1" si="3"/>
        <v>CN</v>
      </c>
      <c r="T7" s="225" t="str">
        <f ca="1">IF(B7="","",IF(ISERROR(MATCH($J7,SorP!$B$1:$B$6230,0)),"",INDIRECT("'SorP'!$A$"&amp;MATCH($J7,SorP!$B$1:$B$6230,0))))</f>
        <v>CN-NM</v>
      </c>
      <c r="U7" s="241"/>
      <c r="V7" s="275">
        <f ca="1">IF(C7="",NA(),MATCH($B7&amp;$C7,'Smelter Look-up'!$J:$J,0))</f>
        <v>365</v>
      </c>
      <c r="W7" s="276"/>
      <c r="X7" s="276">
        <f t="shared" ca="1" si="4"/>
        <v>0</v>
      </c>
      <c r="Y7" s="276"/>
      <c r="Z7" s="276"/>
      <c r="AB7" s="278" t="str">
        <f t="shared" ca="1" si="5"/>
        <v>TinChifeng Dajingzi Tin Industry Co., Ltd.</v>
      </c>
    </row>
    <row r="8" spans="1:34" s="277" customFormat="1" ht="20.100000000000001" customHeight="1">
      <c r="A8" s="450" t="s">
        <v>791</v>
      </c>
      <c r="B8" s="217" t="str">
        <f ca="1">IF(LEN(A8)=0,"",INDEX('Smelter Look-up'!$A:$A,MATCH($A8,'Smelter Look-up'!$E:$E,0)))</f>
        <v>Tin</v>
      </c>
      <c r="C8" s="221" t="str">
        <f ca="1">IF(LEN(A8)=0,"",INDEX('Smelter Look-up'!$C:$C,MATCH($A8,'Smelter Look-up'!$E:$E,0)))</f>
        <v>China Tin Group Co., Ltd.</v>
      </c>
      <c r="D8" s="283"/>
      <c r="E8" s="217" t="str">
        <f ca="1">IF(ISERROR($V8),"",OFFSET('Smelter Look-up'!$D$4,$V8-4,0)&amp;"")</f>
        <v>CHINA</v>
      </c>
      <c r="F8" s="217" t="str">
        <f ca="1">IF(ISERROR($V8),"",OFFSET('Smelter Look-up'!$E$4,$V8-4,0))</f>
        <v>CID001070</v>
      </c>
      <c r="G8" s="217" t="str">
        <f ca="1">IF(C8=$X$4,"Enter smelter details",IF(ISERROR($V8),"",OFFSET('Smelter Look-up'!$F$4,$V8-4,0)))</f>
        <v>RMI</v>
      </c>
      <c r="H8" s="218">
        <f ca="1">IF(ISERROR($V8),"",OFFSET('Smelter Look-up'!$G$4,$V8-4,0))</f>
        <v>0</v>
      </c>
      <c r="I8" s="219" t="str">
        <f ca="1">IF(ISERROR($V8),"",OFFSET('Smelter Look-up'!$H$4,$V8-4,0))</f>
        <v>Laibin</v>
      </c>
      <c r="J8" s="219" t="str">
        <f ca="1">IF(ISERROR($V8),"",OFFSET('Smelter Look-up'!$I$4,$V8-4,0))</f>
        <v>Guangxi Zhuangzu Zizhiqu</v>
      </c>
      <c r="K8" s="273"/>
      <c r="L8" s="273"/>
      <c r="M8" s="273"/>
      <c r="N8" s="273"/>
      <c r="O8" s="273"/>
      <c r="P8" s="220"/>
      <c r="Q8" s="274"/>
      <c r="R8" s="217" t="str">
        <f ca="1">IF(ISERROR($V8),"",OFFSET('Smelter Look-up'!$C$4,$V8-4,0)&amp;"")</f>
        <v>China Tin Group Co., Ltd.</v>
      </c>
      <c r="S8" s="225" t="str">
        <f t="shared" ca="1" si="3"/>
        <v>CN</v>
      </c>
      <c r="T8" s="225" t="str">
        <f ca="1">IF(B8="","",IF(ISERROR(MATCH($J8,SorP!$B$1:$B$6230,0)),"",INDIRECT("'SorP'!$A$"&amp;MATCH($J8,SorP!$B$1:$B$6230,0))))</f>
        <v>CN-GX</v>
      </c>
      <c r="U8" s="241"/>
      <c r="V8" s="275">
        <f ca="1">IF(C8="",NA(),MATCH($B8&amp;$C8,'Smelter Look-up'!$J:$J,0))</f>
        <v>367</v>
      </c>
      <c r="W8" s="276"/>
      <c r="X8" s="276">
        <f t="shared" ca="1" si="4"/>
        <v>0</v>
      </c>
      <c r="Y8" s="276"/>
      <c r="Z8" s="276"/>
      <c r="AB8" s="278" t="str">
        <f t="shared" ca="1" si="5"/>
        <v>TinChina Tin Group Co., Ltd.</v>
      </c>
    </row>
    <row r="9" spans="1:34" s="277" customFormat="1" ht="20.100000000000001" customHeight="1">
      <c r="A9" s="450" t="s">
        <v>1433</v>
      </c>
      <c r="B9" s="217" t="str">
        <f ca="1">IF(LEN(A9)=0,"",INDEX('Smelter Look-up'!$A:$A,MATCH($A9,'Smelter Look-up'!$E:$E,0)))</f>
        <v>Tin</v>
      </c>
      <c r="C9" s="221" t="str">
        <f ca="1">IF(LEN(A9)=0,"",INDEX('Smelter Look-up'!$C:$C,MATCH($A9,'Smelter Look-up'!$E:$E,0)))</f>
        <v>Dowa</v>
      </c>
      <c r="D9" s="283"/>
      <c r="E9" s="217" t="str">
        <f ca="1">IF(ISERROR($V9),"",OFFSET('Smelter Look-up'!$D$4,$V9-4,0)&amp;"")</f>
        <v>JAPAN</v>
      </c>
      <c r="F9" s="217" t="str">
        <f ca="1">IF(ISERROR($V9),"",OFFSET('Smelter Look-up'!$E$4,$V9-4,0))</f>
        <v>CID000402</v>
      </c>
      <c r="G9" s="217" t="str">
        <f ca="1">IF(C9=$X$4,"Enter smelter details",IF(ISERROR($V9),"",OFFSET('Smelter Look-up'!$F$4,$V9-4,0)))</f>
        <v>RMI</v>
      </c>
      <c r="H9" s="218">
        <f ca="1">IF(ISERROR($V9),"",OFFSET('Smelter Look-up'!$G$4,$V9-4,0))</f>
        <v>0</v>
      </c>
      <c r="I9" s="219" t="str">
        <f ca="1">IF(ISERROR($V9),"",OFFSET('Smelter Look-up'!$H$4,$V9-4,0))</f>
        <v>Kosaka</v>
      </c>
      <c r="J9" s="219" t="str">
        <f ca="1">IF(ISERROR($V9),"",OFFSET('Smelter Look-up'!$I$4,$V9-4,0))</f>
        <v>Akita</v>
      </c>
      <c r="K9" s="273"/>
      <c r="L9" s="273"/>
      <c r="M9" s="273"/>
      <c r="N9" s="273"/>
      <c r="O9" s="273"/>
      <c r="P9" s="220"/>
      <c r="Q9" s="274"/>
      <c r="R9" s="217" t="str">
        <f ca="1">IF(ISERROR($V9),"",OFFSET('Smelter Look-up'!$C$4,$V9-4,0)&amp;"")</f>
        <v>Dowa</v>
      </c>
      <c r="S9" s="225" t="str">
        <f t="shared" ca="1" si="3"/>
        <v>JP</v>
      </c>
      <c r="T9" s="225" t="str">
        <f ca="1">IF(B9="","",IF(ISERROR(MATCH($J9,SorP!$B$1:$B$6230,0)),"",INDIRECT("'SorP'!$A$"&amp;MATCH($J9,SorP!$B$1:$B$6230,0))))</f>
        <v>JP-05</v>
      </c>
      <c r="U9" s="241"/>
      <c r="V9" s="275">
        <f ca="1">IF(C9="",NA(),MATCH($B9&amp;$C9,'Smelter Look-up'!$J:$J,0))</f>
        <v>374</v>
      </c>
      <c r="W9" s="276"/>
      <c r="X9" s="276">
        <f t="shared" ca="1" si="4"/>
        <v>0</v>
      </c>
      <c r="Y9" s="276"/>
      <c r="Z9" s="276"/>
      <c r="AB9" s="278" t="str">
        <f t="shared" ca="1" si="5"/>
        <v>TinDowa</v>
      </c>
    </row>
    <row r="10" spans="1:34" s="277" customFormat="1" ht="20.100000000000001" customHeight="1">
      <c r="A10" s="450" t="s">
        <v>784</v>
      </c>
      <c r="B10" s="217" t="str">
        <f ca="1">IF(LEN(A10)=0,"",INDEX('Smelter Look-up'!$A:$A,MATCH($A10,'Smelter Look-up'!$E:$E,0)))</f>
        <v>Tin</v>
      </c>
      <c r="C10" s="221" t="str">
        <f ca="1">IF(LEN(A10)=0,"",INDEX('Smelter Look-up'!$C:$C,MATCH($A10,'Smelter Look-up'!$E:$E,0)))</f>
        <v>EM Vinto</v>
      </c>
      <c r="D10" s="283"/>
      <c r="E10" s="217" t="str">
        <f ca="1">IF(ISERROR($V10),"",OFFSET('Smelter Look-up'!$D$4,$V10-4,0)&amp;"")</f>
        <v>BOLIVIA (PLURINATIONAL STATE OF)</v>
      </c>
      <c r="F10" s="217" t="str">
        <f ca="1">IF(ISERROR($V10),"",OFFSET('Smelter Look-up'!$E$4,$V10-4,0))</f>
        <v>CID000438</v>
      </c>
      <c r="G10" s="217" t="str">
        <f ca="1">IF(C10=$X$4,"Enter smelter details",IF(ISERROR($V10),"",OFFSET('Smelter Look-up'!$F$4,$V10-4,0)))</f>
        <v>RMI</v>
      </c>
      <c r="H10" s="218">
        <f ca="1">IF(ISERROR($V10),"",OFFSET('Smelter Look-up'!$G$4,$V10-4,0))</f>
        <v>0</v>
      </c>
      <c r="I10" s="219" t="str">
        <f ca="1">IF(ISERROR($V10),"",OFFSET('Smelter Look-up'!$H$4,$V10-4,0))</f>
        <v>Oruro</v>
      </c>
      <c r="J10" s="219" t="str">
        <f ca="1">IF(ISERROR($V10),"",OFFSET('Smelter Look-up'!$I$4,$V10-4,0))</f>
        <v>Oruro</v>
      </c>
      <c r="K10" s="273"/>
      <c r="L10" s="273"/>
      <c r="M10" s="273"/>
      <c r="N10" s="273"/>
      <c r="O10" s="273"/>
      <c r="P10" s="220"/>
      <c r="Q10" s="274"/>
      <c r="R10" s="217" t="str">
        <f ca="1">IF(ISERROR($V10),"",OFFSET('Smelter Look-up'!$C$4,$V10-4,0)&amp;"")</f>
        <v>EM Vinto</v>
      </c>
      <c r="S10" s="225" t="str">
        <f t="shared" ca="1" si="3"/>
        <v>BO</v>
      </c>
      <c r="T10" s="225" t="str">
        <f ca="1">IF(B10="","",IF(ISERROR(MATCH($J10,SorP!$B$1:$B$6230,0)),"",INDIRECT("'SorP'!$A$"&amp;MATCH($J10,SorP!$B$1:$B$6230,0))))</f>
        <v>BO-O</v>
      </c>
      <c r="U10" s="241"/>
      <c r="V10" s="275">
        <f ca="1">IF(C10="",NA(),MATCH($B10&amp;$C10,'Smelter Look-up'!$J:$J,0))</f>
        <v>377</v>
      </c>
      <c r="W10" s="276"/>
      <c r="X10" s="276">
        <f t="shared" ca="1" si="4"/>
        <v>0</v>
      </c>
      <c r="Y10" s="276"/>
      <c r="Z10" s="276"/>
      <c r="AB10" s="278" t="str">
        <f t="shared" ca="1" si="5"/>
        <v>TinEM Vinto</v>
      </c>
    </row>
    <row r="11" spans="1:34" s="277" customFormat="1" ht="20.100000000000001" customHeight="1">
      <c r="A11" s="450" t="s">
        <v>786</v>
      </c>
      <c r="B11" s="217" t="str">
        <f ca="1">IF(LEN(A11)=0,"",INDEX('Smelter Look-up'!$A:$A,MATCH($A11,'Smelter Look-up'!$E:$E,0)))</f>
        <v>Tin</v>
      </c>
      <c r="C11" s="221" t="str">
        <f ca="1">IF(LEN(A11)=0,"",INDEX('Smelter Look-up'!$C:$C,MATCH($A11,'Smelter Look-up'!$E:$E,0)))</f>
        <v>Fenix Metals</v>
      </c>
      <c r="D11" s="283"/>
      <c r="E11" s="217" t="str">
        <f ca="1">IF(ISERROR($V11),"",OFFSET('Smelter Look-up'!$D$4,$V11-4,0)&amp;"")</f>
        <v>POLAND</v>
      </c>
      <c r="F11" s="217" t="str">
        <f ca="1">IF(ISERROR($V11),"",OFFSET('Smelter Look-up'!$E$4,$V11-4,0))</f>
        <v>CID000468</v>
      </c>
      <c r="G11" s="217" t="str">
        <f ca="1">IF(C11=$X$4,"Enter smelter details",IF(ISERROR($V11),"",OFFSET('Smelter Look-up'!$F$4,$V11-4,0)))</f>
        <v>RMI</v>
      </c>
      <c r="H11" s="218">
        <f ca="1">IF(ISERROR($V11),"",OFFSET('Smelter Look-up'!$G$4,$V11-4,0))</f>
        <v>0</v>
      </c>
      <c r="I11" s="219" t="str">
        <f ca="1">IF(ISERROR($V11),"",OFFSET('Smelter Look-up'!$H$4,$V11-4,0))</f>
        <v>Chmielów</v>
      </c>
      <c r="J11" s="219" t="str">
        <f ca="1">IF(ISERROR($V11),"",OFFSET('Smelter Look-up'!$I$4,$V11-4,0))</f>
        <v>Podkarpackie</v>
      </c>
      <c r="K11" s="273"/>
      <c r="L11" s="273"/>
      <c r="M11" s="273"/>
      <c r="N11" s="273"/>
      <c r="O11" s="273"/>
      <c r="P11" s="220"/>
      <c r="Q11" s="274"/>
      <c r="R11" s="217" t="str">
        <f ca="1">IF(ISERROR($V11),"",OFFSET('Smelter Look-up'!$C$4,$V11-4,0)&amp;"")</f>
        <v>Fenix Metals</v>
      </c>
      <c r="S11" s="225" t="str">
        <f t="shared" ca="1" si="3"/>
        <v>PL</v>
      </c>
      <c r="T11" s="225" t="str">
        <f ca="1">IF(B11="","",IF(ISERROR(MATCH($J11,SorP!$B$1:$B$6230,0)),"",INDIRECT("'SorP'!$A$"&amp;MATCH($J11,SorP!$B$1:$B$6230,0))))</f>
        <v>PL-18</v>
      </c>
      <c r="U11" s="241"/>
      <c r="V11" s="275">
        <f ca="1">IF(C11="",NA(),MATCH($B11&amp;$C11,'Smelter Look-up'!$J:$J,0))</f>
        <v>383</v>
      </c>
      <c r="W11" s="276"/>
      <c r="X11" s="276">
        <f t="shared" ca="1" si="4"/>
        <v>0</v>
      </c>
      <c r="Y11" s="276"/>
      <c r="Z11" s="276"/>
      <c r="AB11" s="278" t="str">
        <f t="shared" ca="1" si="5"/>
        <v>TinFenix Metals</v>
      </c>
    </row>
    <row r="12" spans="1:34" s="277" customFormat="1" ht="20.100000000000001" customHeight="1">
      <c r="A12" s="450" t="s">
        <v>790</v>
      </c>
      <c r="B12" s="217" t="str">
        <f ca="1">IF(LEN(A12)=0,"",INDEX('Smelter Look-up'!$A:$A,MATCH($A12,'Smelter Look-up'!$E:$E,0)))</f>
        <v>Tin</v>
      </c>
      <c r="C12" s="221" t="str">
        <f ca="1">IF(LEN(A12)=0,"",INDEX('Smelter Look-up'!$C:$C,MATCH($A12,'Smelter Look-up'!$E:$E,0)))</f>
        <v>Gejiu Kai Meng Industry and Trade LLC</v>
      </c>
      <c r="D12" s="283"/>
      <c r="E12" s="217" t="str">
        <f ca="1">IF(ISERROR($V12),"",OFFSET('Smelter Look-up'!$D$4,$V12-4,0)&amp;"")</f>
        <v>CHINA</v>
      </c>
      <c r="F12" s="217" t="str">
        <f ca="1">IF(ISERROR($V12),"",OFFSET('Smelter Look-up'!$E$4,$V12-4,0))</f>
        <v>CID000942</v>
      </c>
      <c r="G12" s="217" t="str">
        <f ca="1">IF(C12=$X$4,"Enter smelter details",IF(ISERROR($V12),"",OFFSET('Smelter Look-up'!$F$4,$V12-4,0)))</f>
        <v>RMI</v>
      </c>
      <c r="H12" s="218">
        <f ca="1">IF(ISERROR($V12),"",OFFSET('Smelter Look-up'!$G$4,$V12-4,0))</f>
        <v>0</v>
      </c>
      <c r="I12" s="219" t="str">
        <f ca="1">IF(ISERROR($V12),"",OFFSET('Smelter Look-up'!$H$4,$V12-4,0))</f>
        <v>Gejiu</v>
      </c>
      <c r="J12" s="219" t="str">
        <f ca="1">IF(ISERROR($V12),"",OFFSET('Smelter Look-up'!$I$4,$V12-4,0))</f>
        <v>Yunnan Sheng</v>
      </c>
      <c r="K12" s="273"/>
      <c r="L12" s="273"/>
      <c r="M12" s="273"/>
      <c r="N12" s="273"/>
      <c r="O12" s="273"/>
      <c r="P12" s="220"/>
      <c r="Q12" s="274"/>
      <c r="R12" s="217" t="str">
        <f ca="1">IF(ISERROR($V12),"",OFFSET('Smelter Look-up'!$C$4,$V12-4,0)&amp;"")</f>
        <v>Gejiu Kai Meng Industry and Trade LLC</v>
      </c>
      <c r="S12" s="225" t="str">
        <f t="shared" ca="1" si="3"/>
        <v>CN</v>
      </c>
      <c r="T12" s="225" t="str">
        <f ca="1">IF(B12="","",IF(ISERROR(MATCH($J12,SorP!$B$1:$B$6230,0)),"",INDIRECT("'SorP'!$A$"&amp;MATCH($J12,SorP!$B$1:$B$6230,0))))</f>
        <v>CN-YN</v>
      </c>
      <c r="U12" s="241"/>
      <c r="V12" s="275">
        <f ca="1">IF(C12="",NA(),MATCH($B12&amp;$C12,'Smelter Look-up'!$J:$J,0))</f>
        <v>388</v>
      </c>
      <c r="W12" s="276"/>
      <c r="X12" s="276">
        <f t="shared" ca="1" si="4"/>
        <v>0</v>
      </c>
      <c r="Y12" s="276"/>
      <c r="Z12" s="276"/>
      <c r="AB12" s="278" t="str">
        <f t="shared" ca="1" si="5"/>
        <v>TinGejiu Kai Meng Industry and Trade LLC</v>
      </c>
    </row>
    <row r="13" spans="1:34" s="277" customFormat="1" ht="20.100000000000001" customHeight="1">
      <c r="A13" s="450" t="s">
        <v>787</v>
      </c>
      <c r="B13" s="217" t="str">
        <f ca="1">IF(LEN(A13)=0,"",INDEX('Smelter Look-up'!$A:$A,MATCH($A13,'Smelter Look-up'!$E:$E,0)))</f>
        <v>Tin</v>
      </c>
      <c r="C13" s="221" t="str">
        <f ca="1">IF(LEN(A13)=0,"",INDEX('Smelter Look-up'!$C:$C,MATCH($A13,'Smelter Look-up'!$E:$E,0)))</f>
        <v>Gejiu Non-Ferrous Metal Processing Co., Ltd.</v>
      </c>
      <c r="D13" s="283"/>
      <c r="E13" s="217" t="str">
        <f ca="1">IF(ISERROR($V13),"",OFFSET('Smelter Look-up'!$D$4,$V13-4,0)&amp;"")</f>
        <v>CHINA</v>
      </c>
      <c r="F13" s="217" t="str">
        <f ca="1">IF(ISERROR($V13),"",OFFSET('Smelter Look-up'!$E$4,$V13-4,0))</f>
        <v>CID000538</v>
      </c>
      <c r="G13" s="217" t="str">
        <f ca="1">IF(C13=$X$4,"Enter smelter details",IF(ISERROR($V13),"",OFFSET('Smelter Look-up'!$F$4,$V13-4,0)))</f>
        <v>RMI</v>
      </c>
      <c r="H13" s="218">
        <f ca="1">IF(ISERROR($V13),"",OFFSET('Smelter Look-up'!$G$4,$V13-4,0))</f>
        <v>0</v>
      </c>
      <c r="I13" s="219" t="str">
        <f ca="1">IF(ISERROR($V13),"",OFFSET('Smelter Look-up'!$H$4,$V13-4,0))</f>
        <v>Gejiu</v>
      </c>
      <c r="J13" s="219" t="str">
        <f ca="1">IF(ISERROR($V13),"",OFFSET('Smelter Look-up'!$I$4,$V13-4,0))</f>
        <v>Yunnan Sheng</v>
      </c>
      <c r="K13" s="273"/>
      <c r="L13" s="273"/>
      <c r="M13" s="273"/>
      <c r="N13" s="273"/>
      <c r="O13" s="273"/>
      <c r="P13" s="220"/>
      <c r="Q13" s="274"/>
      <c r="R13" s="217" t="str">
        <f ca="1">IF(ISERROR($V13),"",OFFSET('Smelter Look-up'!$C$4,$V13-4,0)&amp;"")</f>
        <v>Gejiu Non-Ferrous Metal Processing Co., Ltd.</v>
      </c>
      <c r="S13" s="225" t="str">
        <f t="shared" ca="1" si="3"/>
        <v>CN</v>
      </c>
      <c r="T13" s="225" t="str">
        <f ca="1">IF(B13="","",IF(ISERROR(MATCH($J13,SorP!$B$1:$B$6230,0)),"",INDIRECT("'SorP'!$A$"&amp;MATCH($J13,SorP!$B$1:$B$6230,0))))</f>
        <v>CN-YN</v>
      </c>
      <c r="U13" s="241"/>
      <c r="V13" s="275">
        <f ca="1">IF(C13="",NA(),MATCH($B13&amp;$C13,'Smelter Look-up'!$J:$J,0))</f>
        <v>389</v>
      </c>
      <c r="W13" s="276"/>
      <c r="X13" s="276">
        <f t="shared" ca="1" si="4"/>
        <v>0</v>
      </c>
      <c r="Y13" s="276"/>
      <c r="Z13" s="276"/>
      <c r="AB13" s="278" t="str">
        <f t="shared" ca="1" si="5"/>
        <v>TinGejiu Non-Ferrous Metal Processing Co., Ltd.</v>
      </c>
    </row>
    <row r="14" spans="1:34" s="277" customFormat="1" ht="20.100000000000001" customHeight="1">
      <c r="A14" s="450" t="s">
        <v>1840</v>
      </c>
      <c r="B14" s="217" t="str">
        <f ca="1">IF(LEN(A14)=0,"",INDEX('Smelter Look-up'!$A:$A,MATCH($A14,'Smelter Look-up'!$E:$E,0)))</f>
        <v>Tin</v>
      </c>
      <c r="C14" s="221" t="str">
        <f ca="1">IF(LEN(A14)=0,"",INDEX('Smelter Look-up'!$C:$C,MATCH($A14,'Smelter Look-up'!$E:$E,0)))</f>
        <v>Gejiu Yunxin Nonferrous Electrolysis Co., Ltd.</v>
      </c>
      <c r="D14" s="283"/>
      <c r="E14" s="217" t="str">
        <f ca="1">IF(ISERROR($V14),"",OFFSET('Smelter Look-up'!$D$4,$V14-4,0)&amp;"")</f>
        <v>CHINA</v>
      </c>
      <c r="F14" s="217" t="str">
        <f ca="1">IF(ISERROR($V14),"",OFFSET('Smelter Look-up'!$E$4,$V14-4,0))</f>
        <v>CID001908</v>
      </c>
      <c r="G14" s="217" t="str">
        <f ca="1">IF(C14=$X$4,"Enter smelter details",IF(ISERROR($V14),"",OFFSET('Smelter Look-up'!$F$4,$V14-4,0)))</f>
        <v>RMI</v>
      </c>
      <c r="H14" s="218">
        <f ca="1">IF(ISERROR($V14),"",OFFSET('Smelter Look-up'!$G$4,$V14-4,0))</f>
        <v>0</v>
      </c>
      <c r="I14" s="219" t="str">
        <f ca="1">IF(ISERROR($V14),"",OFFSET('Smelter Look-up'!$H$4,$V14-4,0))</f>
        <v>Gejiu</v>
      </c>
      <c r="J14" s="219" t="str">
        <f ca="1">IF(ISERROR($V14),"",OFFSET('Smelter Look-up'!$I$4,$V14-4,0))</f>
        <v>Yunnan Sheng</v>
      </c>
      <c r="K14" s="273"/>
      <c r="L14" s="273"/>
      <c r="M14" s="273"/>
      <c r="N14" s="273"/>
      <c r="O14" s="273"/>
      <c r="P14" s="220"/>
      <c r="Q14" s="274"/>
      <c r="R14" s="217" t="str">
        <f ca="1">IF(ISERROR($V14),"",OFFSET('Smelter Look-up'!$C$4,$V14-4,0)&amp;"")</f>
        <v>Gejiu Yunxin Nonferrous Electrolysis Co., Ltd.</v>
      </c>
      <c r="S14" s="225" t="str">
        <f t="shared" ca="1" si="3"/>
        <v>CN</v>
      </c>
      <c r="T14" s="225" t="str">
        <f ca="1">IF(B14="","",IF(ISERROR(MATCH($J14,SorP!$B$1:$B$6230,0)),"",INDIRECT("'SorP'!$A$"&amp;MATCH($J14,SorP!$B$1:$B$6230,0))))</f>
        <v>CN-YN</v>
      </c>
      <c r="U14" s="241"/>
      <c r="V14" s="275">
        <f ca="1">IF(C14="",NA(),MATCH($B14&amp;$C14,'Smelter Look-up'!$J:$J,0))</f>
        <v>390</v>
      </c>
      <c r="W14" s="276"/>
      <c r="X14" s="276">
        <f t="shared" ca="1" si="4"/>
        <v>0</v>
      </c>
      <c r="Y14" s="276"/>
      <c r="Z14" s="276"/>
      <c r="AB14" s="278" t="str">
        <f t="shared" ca="1" si="5"/>
        <v>TinGejiu Yunxin Nonferrous Electrolysis Co., Ltd.</v>
      </c>
    </row>
    <row r="15" spans="1:34" s="277" customFormat="1" ht="20.100000000000001" customHeight="1">
      <c r="A15" s="450" t="s">
        <v>788</v>
      </c>
      <c r="B15" s="217" t="str">
        <f ca="1">IF(LEN(A15)=0,"",INDEX('Smelter Look-up'!$A:$A,MATCH($A15,'Smelter Look-up'!$E:$E,0)))</f>
        <v>Tin</v>
      </c>
      <c r="C15" s="221" t="str">
        <f ca="1">IF(LEN(A15)=0,"",INDEX('Smelter Look-up'!$C:$C,MATCH($A15,'Smelter Look-up'!$E:$E,0)))</f>
        <v>Gejiu Zili Mining And Metallurgy Co., Ltd.</v>
      </c>
      <c r="D15" s="283"/>
      <c r="E15" s="217" t="str">
        <f ca="1">IF(ISERROR($V15),"",OFFSET('Smelter Look-up'!$D$4,$V15-4,0)&amp;"")</f>
        <v>CHINA</v>
      </c>
      <c r="F15" s="217" t="str">
        <f ca="1">IF(ISERROR($V15),"",OFFSET('Smelter Look-up'!$E$4,$V15-4,0))</f>
        <v>CID000555</v>
      </c>
      <c r="G15" s="217" t="str">
        <f ca="1">IF(C15=$X$4,"Enter smelter details",IF(ISERROR($V15),"",OFFSET('Smelter Look-up'!$F$4,$V15-4,0)))</f>
        <v>RMI</v>
      </c>
      <c r="H15" s="218">
        <f ca="1">IF(ISERROR($V15),"",OFFSET('Smelter Look-up'!$G$4,$V15-4,0))</f>
        <v>0</v>
      </c>
      <c r="I15" s="219" t="str">
        <f ca="1">IF(ISERROR($V15),"",OFFSET('Smelter Look-up'!$H$4,$V15-4,0))</f>
        <v>Gejiu</v>
      </c>
      <c r="J15" s="219" t="str">
        <f ca="1">IF(ISERROR($V15),"",OFFSET('Smelter Look-up'!$I$4,$V15-4,0))</f>
        <v>Yunnan Sheng</v>
      </c>
      <c r="K15" s="273"/>
      <c r="L15" s="273"/>
      <c r="M15" s="273"/>
      <c r="N15" s="273"/>
      <c r="O15" s="273"/>
      <c r="P15" s="220"/>
      <c r="Q15" s="274"/>
      <c r="R15" s="217" t="str">
        <f ca="1">IF(ISERROR($V15),"",OFFSET('Smelter Look-up'!$C$4,$V15-4,0)&amp;"")</f>
        <v>Gejiu Zili Mining And Metallurgy Co., Ltd.</v>
      </c>
      <c r="S15" s="225" t="str">
        <f t="shared" ca="1" si="3"/>
        <v>CN</v>
      </c>
      <c r="T15" s="225" t="str">
        <f ca="1">IF(B15="","",IF(ISERROR(MATCH($J15,SorP!$B$1:$B$6230,0)),"",INDIRECT("'SorP'!$A$"&amp;MATCH($J15,SorP!$B$1:$B$6230,0))))</f>
        <v>CN-YN</v>
      </c>
      <c r="U15" s="241"/>
      <c r="V15" s="275">
        <f ca="1">IF(C15="",NA(),MATCH($B15&amp;$C15,'Smelter Look-up'!$J:$J,0))</f>
        <v>392</v>
      </c>
      <c r="W15" s="276"/>
      <c r="X15" s="276">
        <f t="shared" ca="1" si="4"/>
        <v>0</v>
      </c>
      <c r="Y15" s="276"/>
      <c r="Z15" s="276"/>
      <c r="AB15" s="278" t="str">
        <f t="shared" ca="1" si="5"/>
        <v>TinGejiu Zili Mining And Metallurgy Co., Ltd.</v>
      </c>
    </row>
    <row r="16" spans="1:34" s="277" customFormat="1" ht="20.100000000000001" customHeight="1">
      <c r="A16" s="450" t="s">
        <v>2678</v>
      </c>
      <c r="B16" s="217" t="str">
        <f ca="1">IF(LEN(A16)=0,"",INDEX('Smelter Look-up'!$A:$A,MATCH($A16,'Smelter Look-up'!$E:$E,0)))</f>
        <v>Tin</v>
      </c>
      <c r="C16" s="221" t="str">
        <f ca="1">IF(LEN(A16)=0,"",INDEX('Smelter Look-up'!$C:$C,MATCH($A16,'Smelter Look-up'!$E:$E,0)))</f>
        <v>Guangdong Hanhe Non-Ferrous Metal Co., Ltd.</v>
      </c>
      <c r="D16" s="283"/>
      <c r="E16" s="217" t="str">
        <f ca="1">IF(ISERROR($V16),"",OFFSET('Smelter Look-up'!$D$4,$V16-4,0)&amp;"")</f>
        <v>CHINA</v>
      </c>
      <c r="F16" s="217" t="str">
        <f ca="1">IF(ISERROR($V16),"",OFFSET('Smelter Look-up'!$E$4,$V16-4,0))</f>
        <v>CID003116</v>
      </c>
      <c r="G16" s="217" t="str">
        <f ca="1">IF(C16=$X$4,"Enter smelter details",IF(ISERROR($V16),"",OFFSET('Smelter Look-up'!$F$4,$V16-4,0)))</f>
        <v>RMI</v>
      </c>
      <c r="H16" s="218">
        <f ca="1">IF(ISERROR($V16),"",OFFSET('Smelter Look-up'!$G$4,$V16-4,0))</f>
        <v>0</v>
      </c>
      <c r="I16" s="219" t="str">
        <f ca="1">IF(ISERROR($V16),"",OFFSET('Smelter Look-up'!$H$4,$V16-4,0))</f>
        <v>Chaozhou</v>
      </c>
      <c r="J16" s="219" t="str">
        <f ca="1">IF(ISERROR($V16),"",OFFSET('Smelter Look-up'!$I$4,$V16-4,0))</f>
        <v>Guangdong Sheng</v>
      </c>
      <c r="K16" s="273"/>
      <c r="L16" s="273"/>
      <c r="M16" s="273"/>
      <c r="N16" s="273"/>
      <c r="O16" s="273"/>
      <c r="P16" s="220"/>
      <c r="Q16" s="274"/>
      <c r="R16" s="217" t="str">
        <f ca="1">IF(ISERROR($V16),"",OFFSET('Smelter Look-up'!$C$4,$V16-4,0)&amp;"")</f>
        <v>Guangdong Hanhe Non-Ferrous Metal Co., Ltd.</v>
      </c>
      <c r="S16" s="225" t="str">
        <f t="shared" ca="1" si="3"/>
        <v>CN</v>
      </c>
      <c r="T16" s="225" t="str">
        <f ca="1">IF(B16="","",IF(ISERROR(MATCH($J16,SorP!$B$1:$B$6230,0)),"",INDIRECT("'SorP'!$A$"&amp;MATCH($J16,SorP!$B$1:$B$6230,0))))</f>
        <v>CN-GD</v>
      </c>
      <c r="U16" s="241"/>
      <c r="V16" s="275">
        <f ca="1">IF(C16="",NA(),MATCH($B16&amp;$C16,'Smelter Look-up'!$J:$J,0))</f>
        <v>395</v>
      </c>
      <c r="W16" s="276"/>
      <c r="X16" s="276">
        <f t="shared" ca="1" si="4"/>
        <v>0</v>
      </c>
      <c r="Y16" s="276"/>
      <c r="Z16" s="276"/>
      <c r="AB16" s="278" t="str">
        <f t="shared" ca="1" si="5"/>
        <v>TinGuangdong Hanhe Non-Ferrous Metal Co., Ltd.</v>
      </c>
    </row>
    <row r="17" spans="1:28" s="277" customFormat="1" ht="20.100000000000001" customHeight="1">
      <c r="A17" s="450" t="s">
        <v>2379</v>
      </c>
      <c r="B17" s="217" t="str">
        <f ca="1">IF(LEN(A17)=0,"",INDEX('Smelter Look-up'!$A:$A,MATCH($A17,'Smelter Look-up'!$E:$E,0)))</f>
        <v>Tin</v>
      </c>
      <c r="C17" s="221" t="str">
        <f ca="1">IF(LEN(A17)=0,"",INDEX('Smelter Look-up'!$C:$C,MATCH($A17,'Smelter Look-up'!$E:$E,0)))</f>
        <v>Guanyang Guida Nonferrous Metal Smelting Plant</v>
      </c>
      <c r="D17" s="283"/>
      <c r="E17" s="217" t="str">
        <f ca="1">IF(ISERROR($V17),"",OFFSET('Smelter Look-up'!$D$4,$V17-4,0)&amp;"")</f>
        <v>CHINA</v>
      </c>
      <c r="F17" s="217" t="str">
        <f ca="1">IF(ISERROR($V17),"",OFFSET('Smelter Look-up'!$E$4,$V17-4,0))</f>
        <v>CID002849</v>
      </c>
      <c r="G17" s="217" t="str">
        <f ca="1">IF(C17=$X$4,"Enter smelter details",IF(ISERROR($V17),"",OFFSET('Smelter Look-up'!$F$4,$V17-4,0)))</f>
        <v>RMI</v>
      </c>
      <c r="H17" s="218">
        <f ca="1">IF(ISERROR($V17),"",OFFSET('Smelter Look-up'!$G$4,$V17-4,0))</f>
        <v>0</v>
      </c>
      <c r="I17" s="219" t="str">
        <f ca="1">IF(ISERROR($V17),"",OFFSET('Smelter Look-up'!$H$4,$V17-4,0))</f>
        <v>Guanyang</v>
      </c>
      <c r="J17" s="219" t="str">
        <f ca="1">IF(ISERROR($V17),"",OFFSET('Smelter Look-up'!$I$4,$V17-4,0))</f>
        <v>Guangxi Zhuangzu Zizhiqu</v>
      </c>
      <c r="K17" s="273"/>
      <c r="L17" s="273"/>
      <c r="M17" s="273"/>
      <c r="N17" s="273"/>
      <c r="O17" s="273"/>
      <c r="P17" s="220"/>
      <c r="Q17" s="274"/>
      <c r="R17" s="217" t="str">
        <f ca="1">IF(ISERROR($V17),"",OFFSET('Smelter Look-up'!$C$4,$V17-4,0)&amp;"")</f>
        <v>Guanyang Guida Nonferrous Metal Smelting Plant</v>
      </c>
      <c r="S17" s="225" t="str">
        <f t="shared" ca="1" si="3"/>
        <v>CN</v>
      </c>
      <c r="T17" s="225" t="str">
        <f ca="1">IF(B17="","",IF(ISERROR(MATCH($J17,SorP!$B$1:$B$6230,0)),"",INDIRECT("'SorP'!$A$"&amp;MATCH($J17,SorP!$B$1:$B$6230,0))))</f>
        <v>CN-GX</v>
      </c>
      <c r="U17" s="241"/>
      <c r="V17" s="275">
        <f ca="1">IF(C17="",NA(),MATCH($B17&amp;$C17,'Smelter Look-up'!$J:$J,0))</f>
        <v>398</v>
      </c>
      <c r="W17" s="276"/>
      <c r="X17" s="276">
        <f t="shared" ca="1" si="4"/>
        <v>0</v>
      </c>
      <c r="Y17" s="276"/>
      <c r="Z17" s="276"/>
      <c r="AB17" s="278" t="str">
        <f t="shared" ca="1" si="5"/>
        <v>TinGuanyang Guida Nonferrous Metal Smelting Plant</v>
      </c>
    </row>
    <row r="18" spans="1:28" s="277" customFormat="1" ht="20.100000000000001" customHeight="1">
      <c r="A18" s="450" t="s">
        <v>2402</v>
      </c>
      <c r="B18" s="217" t="str">
        <f ca="1">IF(LEN(A18)=0,"",INDEX('Smelter Look-up'!$A:$A,MATCH($A18,'Smelter Look-up'!$E:$E,0)))</f>
        <v>Tin</v>
      </c>
      <c r="C18" s="221" t="str">
        <f ca="1">IF(LEN(A18)=0,"",INDEX('Smelter Look-up'!$C:$C,MATCH($A18,'Smelter Look-up'!$E:$E,0)))</f>
        <v>HuiChang Hill Tin Industry Co., Ltd.</v>
      </c>
      <c r="D18" s="283"/>
      <c r="E18" s="217" t="str">
        <f ca="1">IF(ISERROR($V18),"",OFFSET('Smelter Look-up'!$D$4,$V18-4,0)&amp;"")</f>
        <v>CHINA</v>
      </c>
      <c r="F18" s="217" t="str">
        <f ca="1">IF(ISERROR($V18),"",OFFSET('Smelter Look-up'!$E$4,$V18-4,0))</f>
        <v>CID002844</v>
      </c>
      <c r="G18" s="217" t="str">
        <f ca="1">IF(C18=$X$4,"Enter smelter details",IF(ISERROR($V18),"",OFFSET('Smelter Look-up'!$F$4,$V18-4,0)))</f>
        <v>RMI</v>
      </c>
      <c r="H18" s="218">
        <f ca="1">IF(ISERROR($V18),"",OFFSET('Smelter Look-up'!$G$4,$V18-4,0))</f>
        <v>0</v>
      </c>
      <c r="I18" s="219" t="str">
        <f ca="1">IF(ISERROR($V18),"",OFFSET('Smelter Look-up'!$H$4,$V18-4,0))</f>
        <v>Ganzhou</v>
      </c>
      <c r="J18" s="219" t="str">
        <f ca="1">IF(ISERROR($V18),"",OFFSET('Smelter Look-up'!$I$4,$V18-4,0))</f>
        <v>Jiangxi Sheng</v>
      </c>
      <c r="K18" s="273"/>
      <c r="L18" s="273"/>
      <c r="M18" s="273"/>
      <c r="N18" s="273"/>
      <c r="O18" s="273"/>
      <c r="P18" s="220"/>
      <c r="Q18" s="274"/>
      <c r="R18" s="217" t="str">
        <f ca="1">IF(ISERROR($V18),"",OFFSET('Smelter Look-up'!$C$4,$V18-4,0)&amp;"")</f>
        <v>HuiChang Hill Tin Industry Co., Ltd.</v>
      </c>
      <c r="S18" s="225" t="str">
        <f t="shared" ca="1" si="3"/>
        <v>CN</v>
      </c>
      <c r="T18" s="225" t="str">
        <f ca="1">IF(B18="","",IF(ISERROR(MATCH($J18,SorP!$B$1:$B$6230,0)),"",INDIRECT("'SorP'!$A$"&amp;MATCH($J18,SorP!$B$1:$B$6230,0))))</f>
        <v>CN-JX</v>
      </c>
      <c r="U18" s="241"/>
      <c r="V18" s="275">
        <f ca="1">IF(C18="",NA(),MATCH($B18&amp;$C18,'Smelter Look-up'!$J:$J,0))</f>
        <v>399</v>
      </c>
      <c r="W18" s="276"/>
      <c r="X18" s="276">
        <f t="shared" ca="1" si="4"/>
        <v>0</v>
      </c>
      <c r="Y18" s="276"/>
      <c r="Z18" s="276"/>
      <c r="AB18" s="278" t="str">
        <f t="shared" ca="1" si="5"/>
        <v>TinHuiChang Hill Tin Industry Co., Ltd.</v>
      </c>
    </row>
    <row r="19" spans="1:28" s="277" customFormat="1" ht="20.25">
      <c r="A19" s="450" t="s">
        <v>789</v>
      </c>
      <c r="B19" s="217" t="str">
        <f ca="1">IF(LEN(A19)=0,"",INDEX('Smelter Look-up'!$A:$A,MATCH($A19,'Smelter Look-up'!$E:$E,0)))</f>
        <v>Tin</v>
      </c>
      <c r="C19" s="221" t="str">
        <f ca="1">IF(LEN(A19)=0,"",INDEX('Smelter Look-up'!$C:$C,MATCH($A19,'Smelter Look-up'!$E:$E,0)))</f>
        <v>Huichang Jinshunda Tin Co., Ltd.</v>
      </c>
      <c r="D19" s="283"/>
      <c r="E19" s="217" t="str">
        <f ca="1">IF(ISERROR($V19),"",OFFSET('Smelter Look-up'!$D$4,$V19-4,0)&amp;"")</f>
        <v>CHINA</v>
      </c>
      <c r="F19" s="217" t="str">
        <f ca="1">IF(ISERROR($V19),"",OFFSET('Smelter Look-up'!$E$4,$V19-4,0))</f>
        <v>CID000760</v>
      </c>
      <c r="G19" s="217" t="str">
        <f ca="1">IF(C19=$X$4,"Enter smelter details",IF(ISERROR($V19),"",OFFSET('Smelter Look-up'!$F$4,$V19-4,0)))</f>
        <v>RMI</v>
      </c>
      <c r="H19" s="218">
        <f ca="1">IF(ISERROR($V19),"",OFFSET('Smelter Look-up'!$G$4,$V19-4,0))</f>
        <v>0</v>
      </c>
      <c r="I19" s="219" t="str">
        <f ca="1">IF(ISERROR($V19),"",OFFSET('Smelter Look-up'!$H$4,$V19-4,0))</f>
        <v>Ganzhou</v>
      </c>
      <c r="J19" s="219" t="str">
        <f ca="1">IF(ISERROR($V19),"",OFFSET('Smelter Look-up'!$I$4,$V19-4,0))</f>
        <v>Jiangxi Sheng</v>
      </c>
      <c r="K19" s="273"/>
      <c r="L19" s="273"/>
      <c r="M19" s="273"/>
      <c r="N19" s="273"/>
      <c r="O19" s="273"/>
      <c r="P19" s="220"/>
      <c r="Q19" s="274"/>
      <c r="R19" s="217" t="str">
        <f ca="1">IF(ISERROR($V19),"",OFFSET('Smelter Look-up'!$C$4,$V19-4,0)&amp;"")</f>
        <v>Huichang Jinshunda Tin Co., Ltd.</v>
      </c>
      <c r="S19" s="225" t="str">
        <f t="shared" ca="1" si="3"/>
        <v>CN</v>
      </c>
      <c r="T19" s="225" t="str">
        <f ca="1">IF(B19="","",IF(ISERROR(MATCH($J19,SorP!$B$1:$B$6230,0)),"",INDIRECT("'SorP'!$A$"&amp;MATCH($J19,SorP!$B$1:$B$6230,0))))</f>
        <v>CN-JX</v>
      </c>
      <c r="U19" s="241"/>
      <c r="V19" s="275">
        <f ca="1">IF(C19="",NA(),MATCH($B19&amp;$C19,'Smelter Look-up'!$J:$J,0))</f>
        <v>400</v>
      </c>
      <c r="W19" s="276"/>
      <c r="X19" s="276">
        <f t="shared" ca="1" si="4"/>
        <v>0</v>
      </c>
      <c r="Y19" s="276"/>
      <c r="Z19" s="276"/>
      <c r="AB19" s="278" t="str">
        <f t="shared" ca="1" si="5"/>
        <v>TinHuichang Jinshunda Tin Co., Ltd.</v>
      </c>
    </row>
    <row r="20" spans="1:28" s="277" customFormat="1" ht="20.25">
      <c r="A20" s="450" t="s">
        <v>1828</v>
      </c>
      <c r="B20" s="217" t="str">
        <f ca="1">IF(LEN(A20)=0,"",INDEX('Smelter Look-up'!$A:$A,MATCH($A20,'Smelter Look-up'!$E:$E,0)))</f>
        <v>Tin</v>
      </c>
      <c r="C20" s="221" t="str">
        <f ca="1">IF(LEN(A20)=0,"",INDEX('Smelter Look-up'!$C:$C,MATCH($A20,'Smelter Look-up'!$E:$E,0)))</f>
        <v>Jiangxi New Nanshan Technology Ltd.</v>
      </c>
      <c r="D20" s="283"/>
      <c r="E20" s="217" t="str">
        <f ca="1">IF(ISERROR($V20),"",OFFSET('Smelter Look-up'!$D$4,$V20-4,0)&amp;"")</f>
        <v>CHINA</v>
      </c>
      <c r="F20" s="217" t="str">
        <f ca="1">IF(ISERROR($V20),"",OFFSET('Smelter Look-up'!$E$4,$V20-4,0))</f>
        <v>CID001231</v>
      </c>
      <c r="G20" s="217" t="str">
        <f ca="1">IF(C20=$X$4,"Enter smelter details",IF(ISERROR($V20),"",OFFSET('Smelter Look-up'!$F$4,$V20-4,0)))</f>
        <v>RMI</v>
      </c>
      <c r="H20" s="218">
        <f ca="1">IF(ISERROR($V20),"",OFFSET('Smelter Look-up'!$G$4,$V20-4,0))</f>
        <v>0</v>
      </c>
      <c r="I20" s="219" t="str">
        <f ca="1">IF(ISERROR($V20),"",OFFSET('Smelter Look-up'!$H$4,$V20-4,0))</f>
        <v>Ganzhou</v>
      </c>
      <c r="J20" s="219" t="str">
        <f ca="1">IF(ISERROR($V20),"",OFFSET('Smelter Look-up'!$I$4,$V20-4,0))</f>
        <v>Jiangxi Sheng</v>
      </c>
      <c r="K20" s="273"/>
      <c r="L20" s="273"/>
      <c r="M20" s="273"/>
      <c r="N20" s="273"/>
      <c r="O20" s="273"/>
      <c r="P20" s="220"/>
      <c r="Q20" s="274"/>
      <c r="R20" s="217" t="str">
        <f ca="1">IF(ISERROR($V20),"",OFFSET('Smelter Look-up'!$C$4,$V20-4,0)&amp;"")</f>
        <v>Jiangxi New Nanshan Technology Ltd.</v>
      </c>
      <c r="S20" s="225" t="str">
        <f t="shared" ca="1" si="3"/>
        <v>CN</v>
      </c>
      <c r="T20" s="225" t="str">
        <f ca="1">IF(B20="","",IF(ISERROR(MATCH($J20,SorP!$B$1:$B$6230,0)),"",INDIRECT("'SorP'!$A$"&amp;MATCH($J20,SorP!$B$1:$B$6230,0))))</f>
        <v>CN-JX</v>
      </c>
      <c r="U20" s="241"/>
      <c r="V20" s="275">
        <f ca="1">IF(C20="",NA(),MATCH($B20&amp;$C20,'Smelter Look-up'!$J:$J,0))</f>
        <v>404</v>
      </c>
      <c r="W20" s="276"/>
      <c r="X20" s="276">
        <f t="shared" ca="1" si="4"/>
        <v>0</v>
      </c>
      <c r="Y20" s="276"/>
      <c r="Z20" s="276"/>
      <c r="AB20" s="278" t="str">
        <f t="shared" ca="1" si="5"/>
        <v>TinJiangxi New Nanshan Technology Ltd.</v>
      </c>
    </row>
    <row r="21" spans="1:28" s="277" customFormat="1" ht="20.25">
      <c r="A21" s="450" t="s">
        <v>14154</v>
      </c>
      <c r="B21" s="217" t="str">
        <f ca="1">IF(LEN(A21)=0,"",INDEX('Smelter Look-up'!$A:$A,MATCH($A21,'Smelter Look-up'!$E:$E,0)))</f>
        <v>Tin</v>
      </c>
      <c r="C21" s="221" t="str">
        <f ca="1">IF(LEN(A21)=0,"",INDEX('Smelter Look-up'!$C:$C,MATCH($A21,'Smelter Look-up'!$E:$E,0)))</f>
        <v>Ma'anshan Weitai Tin Co., Ltd.</v>
      </c>
      <c r="D21" s="283"/>
      <c r="E21" s="217" t="str">
        <f ca="1">IF(ISERROR($V21),"",OFFSET('Smelter Look-up'!$D$4,$V21-4,0)&amp;"")</f>
        <v>CHINA</v>
      </c>
      <c r="F21" s="217" t="str">
        <f ca="1">IF(ISERROR($V21),"",OFFSET('Smelter Look-up'!$E$4,$V21-4,0))</f>
        <v>CID003379</v>
      </c>
      <c r="G21" s="217" t="str">
        <f ca="1">IF(C21=$X$4,"Enter smelter details",IF(ISERROR($V21),"",OFFSET('Smelter Look-up'!$F$4,$V21-4,0)))</f>
        <v>RMI</v>
      </c>
      <c r="H21" s="218">
        <f ca="1">IF(ISERROR($V21),"",OFFSET('Smelter Look-up'!$G$4,$V21-4,0))</f>
        <v>0</v>
      </c>
      <c r="I21" s="219" t="str">
        <f ca="1">IF(ISERROR($V21),"",OFFSET('Smelter Look-up'!$H$4,$V21-4,0))</f>
        <v>Maanshan</v>
      </c>
      <c r="J21" s="219" t="str">
        <f ca="1">IF(ISERROR($V21),"",OFFSET('Smelter Look-up'!$I$4,$V21-4,0))</f>
        <v>Anhui Sheng</v>
      </c>
      <c r="K21" s="273"/>
      <c r="L21" s="273"/>
      <c r="M21" s="273"/>
      <c r="N21" s="273"/>
      <c r="O21" s="273"/>
      <c r="P21" s="220"/>
      <c r="Q21" s="274"/>
      <c r="R21" s="217" t="str">
        <f ca="1">IF(ISERROR($V21),"",OFFSET('Smelter Look-up'!$C$4,$V21-4,0)&amp;"")</f>
        <v>Ma'anshan Weitai Tin Co., Ltd.</v>
      </c>
      <c r="S21" s="225" t="str">
        <f t="shared" ca="1" si="3"/>
        <v>CN</v>
      </c>
      <c r="T21" s="225" t="str">
        <f ca="1">IF(B21="","",IF(ISERROR(MATCH($J21,SorP!$B$1:$B$6230,0)),"",INDIRECT("'SorP'!$A$"&amp;MATCH($J21,SorP!$B$1:$B$6230,0))))</f>
        <v>CN-AH</v>
      </c>
      <c r="U21" s="241"/>
      <c r="V21" s="275">
        <f ca="1">IF(C21="",NA(),MATCH($B21&amp;$C21,'Smelter Look-up'!$J:$J,0))</f>
        <v>412</v>
      </c>
      <c r="W21" s="276"/>
      <c r="X21" s="276">
        <f t="shared" ca="1" si="4"/>
        <v>0</v>
      </c>
      <c r="Y21" s="276"/>
      <c r="Z21" s="276"/>
      <c r="AB21" s="278" t="str">
        <f t="shared" ca="1" si="5"/>
        <v>TinMa'anshan Weitai Tin Co., Ltd.</v>
      </c>
    </row>
    <row r="22" spans="1:28" s="277" customFormat="1" ht="20.25">
      <c r="A22" s="450" t="s">
        <v>142</v>
      </c>
      <c r="B22" s="217" t="str">
        <f ca="1">IF(LEN(A22)=0,"",INDEX('Smelter Look-up'!$A:$A,MATCH($A22,'Smelter Look-up'!$E:$E,0)))</f>
        <v>Tin</v>
      </c>
      <c r="C22" s="221" t="str">
        <f ca="1">IF(LEN(A22)=0,"",INDEX('Smelter Look-up'!$C:$C,MATCH($A22,'Smelter Look-up'!$E:$E,0)))</f>
        <v>Magnu's Minerais Metais e Ligas Ltda.</v>
      </c>
      <c r="D22" s="283"/>
      <c r="E22" s="217" t="str">
        <f ca="1">IF(ISERROR($V22),"",OFFSET('Smelter Look-up'!$D$4,$V22-4,0)&amp;"")</f>
        <v>BRAZIL</v>
      </c>
      <c r="F22" s="217" t="str">
        <f ca="1">IF(ISERROR($V22),"",OFFSET('Smelter Look-up'!$E$4,$V22-4,0))</f>
        <v>CID002468</v>
      </c>
      <c r="G22" s="217" t="str">
        <f ca="1">IF(C22=$X$4,"Enter smelter details",IF(ISERROR($V22),"",OFFSET('Smelter Look-up'!$F$4,$V22-4,0)))</f>
        <v>RMI</v>
      </c>
      <c r="H22" s="218">
        <f ca="1">IF(ISERROR($V22),"",OFFSET('Smelter Look-up'!$G$4,$V22-4,0))</f>
        <v>0</v>
      </c>
      <c r="I22" s="219" t="str">
        <f ca="1">IF(ISERROR($V22),"",OFFSET('Smelter Look-up'!$H$4,$V22-4,0))</f>
        <v>São João del Rei</v>
      </c>
      <c r="J22" s="219" t="str">
        <f ca="1">IF(ISERROR($V22),"",OFFSET('Smelter Look-up'!$I$4,$V22-4,0))</f>
        <v>Minas Gerais</v>
      </c>
      <c r="K22" s="273"/>
      <c r="L22" s="273"/>
      <c r="M22" s="273"/>
      <c r="N22" s="273"/>
      <c r="O22" s="273"/>
      <c r="P22" s="220"/>
      <c r="Q22" s="274"/>
      <c r="R22" s="217" t="str">
        <f ca="1">IF(ISERROR($V22),"",OFFSET('Smelter Look-up'!$C$4,$V22-4,0)&amp;"")</f>
        <v>Magnu's Minerais Metais e Ligas Ltda.</v>
      </c>
      <c r="S22" s="225" t="str">
        <f t="shared" ca="1" si="3"/>
        <v>BR</v>
      </c>
      <c r="T22" s="225" t="str">
        <f ca="1">IF(B22="","",IF(ISERROR(MATCH($J22,SorP!$B$1:$B$6230,0)),"",INDIRECT("'SorP'!$A$"&amp;MATCH($J22,SorP!$B$1:$B$6230,0))))</f>
        <v>BR-MG</v>
      </c>
      <c r="U22" s="241"/>
      <c r="V22" s="275">
        <f ca="1">IF(C22="",NA(),MATCH($B22&amp;$C22,'Smelter Look-up'!$J:$J,0))</f>
        <v>413</v>
      </c>
      <c r="W22" s="276"/>
      <c r="X22" s="276">
        <f t="shared" ca="1" si="4"/>
        <v>0</v>
      </c>
      <c r="Y22" s="276"/>
      <c r="Z22" s="276"/>
      <c r="AB22" s="278" t="str">
        <f t="shared" ca="1" si="5"/>
        <v>TinMagnu's Minerais Metais e Ligas Ltda.</v>
      </c>
    </row>
    <row r="23" spans="1:28" s="277" customFormat="1" ht="20.25">
      <c r="A23" s="450" t="s">
        <v>792</v>
      </c>
      <c r="B23" s="217" t="str">
        <f ca="1">IF(LEN(A23)=0,"",INDEX('Smelter Look-up'!$A:$A,MATCH($A23,'Smelter Look-up'!$E:$E,0)))</f>
        <v>Tin</v>
      </c>
      <c r="C23" s="221" t="str">
        <f ca="1">IF(LEN(A23)=0,"",INDEX('Smelter Look-up'!$C:$C,MATCH($A23,'Smelter Look-up'!$E:$E,0)))</f>
        <v>Malaysia Smelting Corporation (MSC)</v>
      </c>
      <c r="D23" s="283"/>
      <c r="E23" s="217" t="str">
        <f ca="1">IF(ISERROR($V23),"",OFFSET('Smelter Look-up'!$D$4,$V23-4,0)&amp;"")</f>
        <v>MALAYSIA</v>
      </c>
      <c r="F23" s="217" t="str">
        <f ca="1">IF(ISERROR($V23),"",OFFSET('Smelter Look-up'!$E$4,$V23-4,0))</f>
        <v>CID001105</v>
      </c>
      <c r="G23" s="217" t="str">
        <f ca="1">IF(C23=$X$4,"Enter smelter details",IF(ISERROR($V23),"",OFFSET('Smelter Look-up'!$F$4,$V23-4,0)))</f>
        <v>RMI</v>
      </c>
      <c r="H23" s="218">
        <f ca="1">IF(ISERROR($V23),"",OFFSET('Smelter Look-up'!$G$4,$V23-4,0))</f>
        <v>0</v>
      </c>
      <c r="I23" s="219" t="str">
        <f ca="1">IF(ISERROR($V23),"",OFFSET('Smelter Look-up'!$H$4,$V23-4,0))</f>
        <v>Butterworth</v>
      </c>
      <c r="J23" s="219" t="str">
        <f ca="1">IF(ISERROR($V23),"",OFFSET('Smelter Look-up'!$I$4,$V23-4,0))</f>
        <v>Pulau Pinang</v>
      </c>
      <c r="K23" s="273"/>
      <c r="L23" s="273"/>
      <c r="M23" s="273"/>
      <c r="N23" s="273"/>
      <c r="O23" s="273"/>
      <c r="P23" s="220"/>
      <c r="Q23" s="274"/>
      <c r="R23" s="217" t="str">
        <f ca="1">IF(ISERROR($V23),"",OFFSET('Smelter Look-up'!$C$4,$V23-4,0)&amp;"")</f>
        <v>Malaysia Smelting Corporation (MSC)</v>
      </c>
      <c r="S23" s="225" t="str">
        <f t="shared" ca="1" si="3"/>
        <v>MY</v>
      </c>
      <c r="T23" s="225" t="str">
        <f ca="1">IF(B23="","",IF(ISERROR(MATCH($J23,SorP!$B$1:$B$6230,0)),"",INDIRECT("'SorP'!$A$"&amp;MATCH($J23,SorP!$B$1:$B$6230,0))))</f>
        <v>MY-07</v>
      </c>
      <c r="U23" s="241"/>
      <c r="V23" s="275">
        <f ca="1">IF(C23="",NA(),MATCH($B23&amp;$C23,'Smelter Look-up'!$J:$J,0))</f>
        <v>414</v>
      </c>
      <c r="W23" s="276"/>
      <c r="X23" s="276">
        <f t="shared" ca="1" si="4"/>
        <v>0</v>
      </c>
      <c r="Y23" s="276"/>
      <c r="Z23" s="276"/>
      <c r="AB23" s="278" t="str">
        <f t="shared" ca="1" si="5"/>
        <v>TinMalaysia Smelting Corporation (MSC)</v>
      </c>
    </row>
    <row r="24" spans="1:28" s="277" customFormat="1" ht="20.25">
      <c r="A24" s="450" t="s">
        <v>1349</v>
      </c>
      <c r="B24" s="217" t="str">
        <f ca="1">IF(LEN(A24)=0,"",INDEX('Smelter Look-up'!$A:$A,MATCH($A24,'Smelter Look-up'!$E:$E,0)))</f>
        <v>Tin</v>
      </c>
      <c r="C24" s="221" t="str">
        <f ca="1">IF(LEN(A24)=0,"",INDEX('Smelter Look-up'!$C:$C,MATCH($A24,'Smelter Look-up'!$E:$E,0)))</f>
        <v>Melt Metais e Ligas S.A.</v>
      </c>
      <c r="D24" s="283"/>
      <c r="E24" s="217" t="str">
        <f ca="1">IF(ISERROR($V24),"",OFFSET('Smelter Look-up'!$D$4,$V24-4,0)&amp;"")</f>
        <v>BRAZIL</v>
      </c>
      <c r="F24" s="217" t="str">
        <f ca="1">IF(ISERROR($V24),"",OFFSET('Smelter Look-up'!$E$4,$V24-4,0))</f>
        <v>CID002500</v>
      </c>
      <c r="G24" s="217" t="str">
        <f ca="1">IF(C24=$X$4,"Enter smelter details",IF(ISERROR($V24),"",OFFSET('Smelter Look-up'!$F$4,$V24-4,0)))</f>
        <v>RMI</v>
      </c>
      <c r="H24" s="218">
        <f ca="1">IF(ISERROR($V24),"",OFFSET('Smelter Look-up'!$G$4,$V24-4,0))</f>
        <v>0</v>
      </c>
      <c r="I24" s="219" t="str">
        <f ca="1">IF(ISERROR($V24),"",OFFSET('Smelter Look-up'!$H$4,$V24-4,0))</f>
        <v>Ariquemes</v>
      </c>
      <c r="J24" s="219" t="str">
        <f ca="1">IF(ISERROR($V24),"",OFFSET('Smelter Look-up'!$I$4,$V24-4,0))</f>
        <v>Rondônia</v>
      </c>
      <c r="K24" s="273"/>
      <c r="L24" s="273"/>
      <c r="M24" s="273"/>
      <c r="N24" s="273"/>
      <c r="O24" s="273"/>
      <c r="P24" s="220"/>
      <c r="Q24" s="274"/>
      <c r="R24" s="217" t="str">
        <f ca="1">IF(ISERROR($V24),"",OFFSET('Smelter Look-up'!$C$4,$V24-4,0)&amp;"")</f>
        <v>Melt Metais e Ligas S.A.</v>
      </c>
      <c r="S24" s="225" t="str">
        <f t="shared" ca="1" si="3"/>
        <v>BR</v>
      </c>
      <c r="T24" s="225" t="str">
        <f ca="1">IF(B24="","",IF(ISERROR(MATCH($J24,SorP!$B$1:$B$6230,0)),"",INDIRECT("'SorP'!$A$"&amp;MATCH($J24,SorP!$B$1:$B$6230,0))))</f>
        <v>BR-RO</v>
      </c>
      <c r="U24" s="241"/>
      <c r="V24" s="275">
        <f ca="1">IF(C24="",NA(),MATCH($B24&amp;$C24,'Smelter Look-up'!$J:$J,0))</f>
        <v>415</v>
      </c>
      <c r="W24" s="276"/>
      <c r="X24" s="276">
        <f t="shared" ca="1" si="4"/>
        <v>0</v>
      </c>
      <c r="Y24" s="276"/>
      <c r="Z24" s="276"/>
      <c r="AB24" s="278" t="str">
        <f t="shared" ca="1" si="5"/>
        <v>TinMelt Metais e Ligas S.A.</v>
      </c>
    </row>
    <row r="25" spans="1:28" s="277" customFormat="1" ht="20.25">
      <c r="A25" s="450" t="s">
        <v>1820</v>
      </c>
      <c r="B25" s="217" t="str">
        <f ca="1">IF(LEN(A25)=0,"",INDEX('Smelter Look-up'!$A:$A,MATCH($A25,'Smelter Look-up'!$E:$E,0)))</f>
        <v>Tin</v>
      </c>
      <c r="C25" s="221" t="str">
        <f ca="1">IF(LEN(A25)=0,"",INDEX('Smelter Look-up'!$C:$C,MATCH($A25,'Smelter Look-up'!$E:$E,0)))</f>
        <v>Metallic Resources, Inc.</v>
      </c>
      <c r="D25" s="283"/>
      <c r="E25" s="217" t="str">
        <f ca="1">IF(ISERROR($V25),"",OFFSET('Smelter Look-up'!$D$4,$V25-4,0)&amp;"")</f>
        <v>UNITED STATES OF AMERICA</v>
      </c>
      <c r="F25" s="217" t="str">
        <f ca="1">IF(ISERROR($V25),"",OFFSET('Smelter Look-up'!$E$4,$V25-4,0))</f>
        <v>CID001142</v>
      </c>
      <c r="G25" s="217" t="str">
        <f ca="1">IF(C25=$X$4,"Enter smelter details",IF(ISERROR($V25),"",OFFSET('Smelter Look-up'!$F$4,$V25-4,0)))</f>
        <v>RMI</v>
      </c>
      <c r="H25" s="218">
        <f ca="1">IF(ISERROR($V25),"",OFFSET('Smelter Look-up'!$G$4,$V25-4,0))</f>
        <v>0</v>
      </c>
      <c r="I25" s="219" t="str">
        <f ca="1">IF(ISERROR($V25),"",OFFSET('Smelter Look-up'!$H$4,$V25-4,0))</f>
        <v>Twinsburg</v>
      </c>
      <c r="J25" s="219" t="str">
        <f ca="1">IF(ISERROR($V25),"",OFFSET('Smelter Look-up'!$I$4,$V25-4,0))</f>
        <v>Ohio</v>
      </c>
      <c r="K25" s="273"/>
      <c r="L25" s="273"/>
      <c r="M25" s="273"/>
      <c r="N25" s="273"/>
      <c r="O25" s="273"/>
      <c r="P25" s="220"/>
      <c r="Q25" s="274"/>
      <c r="R25" s="217" t="str">
        <f ca="1">IF(ISERROR($V25),"",OFFSET('Smelter Look-up'!$C$4,$V25-4,0)&amp;"")</f>
        <v>Metallic Resources, Inc.</v>
      </c>
      <c r="S25" s="225" t="str">
        <f t="shared" ca="1" si="3"/>
        <v>US</v>
      </c>
      <c r="T25" s="225" t="str">
        <f ca="1">IF(B25="","",IF(ISERROR(MATCH($J25,SorP!$B$1:$B$6230,0)),"",INDIRECT("'SorP'!$A$"&amp;MATCH($J25,SorP!$B$1:$B$6230,0))))</f>
        <v>US-OH</v>
      </c>
      <c r="U25" s="241"/>
      <c r="V25" s="275">
        <f ca="1">IF(C25="",NA(),MATCH($B25&amp;$C25,'Smelter Look-up'!$J:$J,0))</f>
        <v>418</v>
      </c>
      <c r="W25" s="276"/>
      <c r="X25" s="276">
        <f t="shared" ca="1" si="4"/>
        <v>0</v>
      </c>
      <c r="Y25" s="276"/>
      <c r="Z25" s="276"/>
      <c r="AB25" s="278" t="str">
        <f t="shared" ca="1" si="5"/>
        <v>TinMetallic Resources, Inc.</v>
      </c>
    </row>
    <row r="26" spans="1:28" s="277" customFormat="1" ht="20.25">
      <c r="A26" s="450" t="s">
        <v>1856</v>
      </c>
      <c r="B26" s="217" t="str">
        <f ca="1">IF(LEN(A26)=0,"",INDEX('Smelter Look-up'!$A:$A,MATCH($A26,'Smelter Look-up'!$E:$E,0)))</f>
        <v>Tin</v>
      </c>
      <c r="C26" s="221" t="str">
        <f ca="1">IF(LEN(A26)=0,"",INDEX('Smelter Look-up'!$C:$C,MATCH($A26,'Smelter Look-up'!$E:$E,0)))</f>
        <v>Metallo Belgium N.V.</v>
      </c>
      <c r="D26" s="283"/>
      <c r="E26" s="217" t="str">
        <f ca="1">IF(ISERROR($V26),"",OFFSET('Smelter Look-up'!$D$4,$V26-4,0)&amp;"")</f>
        <v>BELGIUM</v>
      </c>
      <c r="F26" s="217" t="str">
        <f ca="1">IF(ISERROR($V26),"",OFFSET('Smelter Look-up'!$E$4,$V26-4,0))</f>
        <v>CID002773</v>
      </c>
      <c r="G26" s="217" t="str">
        <f ca="1">IF(C26=$X$4,"Enter smelter details",IF(ISERROR($V26),"",OFFSET('Smelter Look-up'!$F$4,$V26-4,0)))</f>
        <v>RMI</v>
      </c>
      <c r="H26" s="218">
        <f ca="1">IF(ISERROR($V26),"",OFFSET('Smelter Look-up'!$G$4,$V26-4,0))</f>
        <v>0</v>
      </c>
      <c r="I26" s="219" t="str">
        <f ca="1">IF(ISERROR($V26),"",OFFSET('Smelter Look-up'!$H$4,$V26-4,0))</f>
        <v>Beerse</v>
      </c>
      <c r="J26" s="219" t="str">
        <f ca="1">IF(ISERROR($V26),"",OFFSET('Smelter Look-up'!$I$4,$V26-4,0))</f>
        <v>Antwerpen</v>
      </c>
      <c r="K26" s="273"/>
      <c r="L26" s="273"/>
      <c r="M26" s="273"/>
      <c r="N26" s="273"/>
      <c r="O26" s="273"/>
      <c r="P26" s="220"/>
      <c r="Q26" s="274"/>
      <c r="R26" s="217" t="str">
        <f ca="1">IF(ISERROR($V26),"",OFFSET('Smelter Look-up'!$C$4,$V26-4,0)&amp;"")</f>
        <v>Metallo Belgium N.V.</v>
      </c>
      <c r="S26" s="225" t="str">
        <f t="shared" ca="1" si="3"/>
        <v>BE</v>
      </c>
      <c r="T26" s="225" t="str">
        <f ca="1">IF(B26="","",IF(ISERROR(MATCH($J26,SorP!$B$1:$B$6230,0)),"",INDIRECT("'SorP'!$A$"&amp;MATCH($J26,SorP!$B$1:$B$6230,0))))</f>
        <v>BE-VAN</v>
      </c>
      <c r="U26" s="241"/>
      <c r="V26" s="275">
        <f ca="1">IF(C26="",NA(),MATCH($B26&amp;$C26,'Smelter Look-up'!$J:$J,0))</f>
        <v>419</v>
      </c>
      <c r="W26" s="276"/>
      <c r="X26" s="276">
        <f t="shared" ca="1" si="4"/>
        <v>0</v>
      </c>
      <c r="Y26" s="276"/>
      <c r="Z26" s="276"/>
      <c r="AB26" s="278" t="str">
        <f t="shared" ca="1" si="5"/>
        <v>TinMetallo Belgium N.V.</v>
      </c>
    </row>
    <row r="27" spans="1:28" s="277" customFormat="1" ht="20.25">
      <c r="A27" s="450" t="s">
        <v>1858</v>
      </c>
      <c r="B27" s="217" t="str">
        <f ca="1">IF(LEN(A27)=0,"",INDEX('Smelter Look-up'!$A:$A,MATCH($A27,'Smelter Look-up'!$E:$E,0)))</f>
        <v>Tin</v>
      </c>
      <c r="C27" s="221" t="str">
        <f ca="1">IF(LEN(A27)=0,"",INDEX('Smelter Look-up'!$C:$C,MATCH($A27,'Smelter Look-up'!$E:$E,0)))</f>
        <v>Metallo Spain S.L.U.</v>
      </c>
      <c r="D27" s="283"/>
      <c r="E27" s="217" t="str">
        <f ca="1">IF(ISERROR($V27),"",OFFSET('Smelter Look-up'!$D$4,$V27-4,0)&amp;"")</f>
        <v>SPAIN</v>
      </c>
      <c r="F27" s="217" t="str">
        <f ca="1">IF(ISERROR($V27),"",OFFSET('Smelter Look-up'!$E$4,$V27-4,0))</f>
        <v>CID002774</v>
      </c>
      <c r="G27" s="217" t="str">
        <f ca="1">IF(C27=$X$4,"Enter smelter details",IF(ISERROR($V27),"",OFFSET('Smelter Look-up'!$F$4,$V27-4,0)))</f>
        <v>RMI</v>
      </c>
      <c r="H27" s="218">
        <f ca="1">IF(ISERROR($V27),"",OFFSET('Smelter Look-up'!$G$4,$V27-4,0))</f>
        <v>0</v>
      </c>
      <c r="I27" s="219" t="str">
        <f ca="1">IF(ISERROR($V27),"",OFFSET('Smelter Look-up'!$H$4,$V27-4,0))</f>
        <v>Berango</v>
      </c>
      <c r="J27" s="219" t="str">
        <f ca="1">IF(ISERROR($V27),"",OFFSET('Smelter Look-up'!$I$4,$V27-4,0))</f>
        <v>Bizkaia</v>
      </c>
      <c r="K27" s="273"/>
      <c r="L27" s="273"/>
      <c r="M27" s="273"/>
      <c r="N27" s="273"/>
      <c r="O27" s="273"/>
      <c r="P27" s="220"/>
      <c r="Q27" s="274"/>
      <c r="R27" s="217" t="str">
        <f ca="1">IF(ISERROR($V27),"",OFFSET('Smelter Look-up'!$C$4,$V27-4,0)&amp;"")</f>
        <v>Metallo Spain S.L.U.</v>
      </c>
      <c r="S27" s="225" t="str">
        <f t="shared" ca="1" si="3"/>
        <v>ES</v>
      </c>
      <c r="T27" s="225" t="str">
        <f ca="1">IF(B27="","",IF(ISERROR(MATCH($J27,SorP!$B$1:$B$6230,0)),"",INDIRECT("'SorP'!$A$"&amp;MATCH($J27,SorP!$B$1:$B$6230,0))))</f>
        <v>ES-BI</v>
      </c>
      <c r="U27" s="241"/>
      <c r="V27" s="275">
        <f ca="1">IF(C27="",NA(),MATCH($B27&amp;$C27,'Smelter Look-up'!$J:$J,0))</f>
        <v>420</v>
      </c>
      <c r="W27" s="276"/>
      <c r="X27" s="276">
        <f t="shared" ca="1" si="4"/>
        <v>0</v>
      </c>
      <c r="Y27" s="276"/>
      <c r="Z27" s="276"/>
      <c r="AB27" s="278" t="str">
        <f t="shared" ca="1" si="5"/>
        <v>TinMetallo Spain S.L.U.</v>
      </c>
    </row>
    <row r="28" spans="1:28" s="277" customFormat="1" ht="20.25">
      <c r="A28" s="450" t="s">
        <v>793</v>
      </c>
      <c r="B28" s="217" t="str">
        <f ca="1">IF(LEN(A28)=0,"",INDEX('Smelter Look-up'!$A:$A,MATCH($A28,'Smelter Look-up'!$E:$E,0)))</f>
        <v>Tin</v>
      </c>
      <c r="C28" s="221" t="str">
        <f ca="1">IF(LEN(A28)=0,"",INDEX('Smelter Look-up'!$C:$C,MATCH($A28,'Smelter Look-up'!$E:$E,0)))</f>
        <v>Mineracao Taboca S.A.</v>
      </c>
      <c r="D28" s="283"/>
      <c r="E28" s="217" t="str">
        <f ca="1">IF(ISERROR($V28),"",OFFSET('Smelter Look-up'!$D$4,$V28-4,0)&amp;"")</f>
        <v>BRAZIL</v>
      </c>
      <c r="F28" s="217" t="str">
        <f ca="1">IF(ISERROR($V28),"",OFFSET('Smelter Look-up'!$E$4,$V28-4,0))</f>
        <v>CID001173</v>
      </c>
      <c r="G28" s="217" t="str">
        <f ca="1">IF(C28=$X$4,"Enter smelter details",IF(ISERROR($V28),"",OFFSET('Smelter Look-up'!$F$4,$V28-4,0)))</f>
        <v>RMI</v>
      </c>
      <c r="H28" s="218">
        <f ca="1">IF(ISERROR($V28),"",OFFSET('Smelter Look-up'!$G$4,$V28-4,0))</f>
        <v>0</v>
      </c>
      <c r="I28" s="219" t="str">
        <f ca="1">IF(ISERROR($V28),"",OFFSET('Smelter Look-up'!$H$4,$V28-4,0))</f>
        <v>Bairro Guarapiranga</v>
      </c>
      <c r="J28" s="219" t="str">
        <f ca="1">IF(ISERROR($V28),"",OFFSET('Smelter Look-up'!$I$4,$V28-4,0))</f>
        <v>São Paulo</v>
      </c>
      <c r="K28" s="273"/>
      <c r="L28" s="273"/>
      <c r="M28" s="273"/>
      <c r="N28" s="273"/>
      <c r="O28" s="273"/>
      <c r="P28" s="220"/>
      <c r="Q28" s="274"/>
      <c r="R28" s="217" t="str">
        <f ca="1">IF(ISERROR($V28),"",OFFSET('Smelter Look-up'!$C$4,$V28-4,0)&amp;"")</f>
        <v>Mineracao Taboca S.A.</v>
      </c>
      <c r="S28" s="225" t="str">
        <f t="shared" ca="1" si="3"/>
        <v>BR</v>
      </c>
      <c r="T28" s="225" t="str">
        <f ca="1">IF(B28="","",IF(ISERROR(MATCH($J28,SorP!$B$1:$B$6230,0)),"",INDIRECT("'SorP'!$A$"&amp;MATCH($J28,SorP!$B$1:$B$6230,0))))</f>
        <v>BR-SP</v>
      </c>
      <c r="U28" s="241"/>
      <c r="V28" s="275">
        <f ca="1">IF(C28="",NA(),MATCH($B28&amp;$C28,'Smelter Look-up'!$J:$J,0))</f>
        <v>421</v>
      </c>
      <c r="W28" s="276"/>
      <c r="X28" s="276">
        <f t="shared" ca="1" si="4"/>
        <v>0</v>
      </c>
      <c r="Y28" s="276"/>
      <c r="Z28" s="276"/>
      <c r="AB28" s="278" t="str">
        <f t="shared" ca="1" si="5"/>
        <v>TinMineracao Taboca S.A.</v>
      </c>
    </row>
    <row r="29" spans="1:28" s="277" customFormat="1" ht="20.25">
      <c r="A29" s="450" t="s">
        <v>794</v>
      </c>
      <c r="B29" s="217" t="str">
        <f ca="1">IF(LEN(A29)=0,"",INDEX('Smelter Look-up'!$A:$A,MATCH($A29,'Smelter Look-up'!$E:$E,0)))</f>
        <v>Tin</v>
      </c>
      <c r="C29" s="221" t="str">
        <f ca="1">IF(LEN(A29)=0,"",INDEX('Smelter Look-up'!$C:$C,MATCH($A29,'Smelter Look-up'!$E:$E,0)))</f>
        <v>Minsur</v>
      </c>
      <c r="D29" s="283"/>
      <c r="E29" s="217" t="str">
        <f ca="1">IF(ISERROR($V29),"",OFFSET('Smelter Look-up'!$D$4,$V29-4,0)&amp;"")</f>
        <v>PERU</v>
      </c>
      <c r="F29" s="217" t="str">
        <f ca="1">IF(ISERROR($V29),"",OFFSET('Smelter Look-up'!$E$4,$V29-4,0))</f>
        <v>CID001182</v>
      </c>
      <c r="G29" s="217" t="str">
        <f ca="1">IF(C29=$X$4,"Enter smelter details",IF(ISERROR($V29),"",OFFSET('Smelter Look-up'!$F$4,$V29-4,0)))</f>
        <v>RMI</v>
      </c>
      <c r="H29" s="218">
        <f ca="1">IF(ISERROR($V29),"",OFFSET('Smelter Look-up'!$G$4,$V29-4,0))</f>
        <v>0</v>
      </c>
      <c r="I29" s="219" t="str">
        <f ca="1">IF(ISERROR($V29),"",OFFSET('Smelter Look-up'!$H$4,$V29-4,0))</f>
        <v>Paracas</v>
      </c>
      <c r="J29" s="219" t="str">
        <f ca="1">IF(ISERROR($V29),"",OFFSET('Smelter Look-up'!$I$4,$V29-4,0))</f>
        <v>Ika</v>
      </c>
      <c r="K29" s="273"/>
      <c r="L29" s="273"/>
      <c r="M29" s="273"/>
      <c r="N29" s="273"/>
      <c r="O29" s="273"/>
      <c r="P29" s="220"/>
      <c r="Q29" s="274"/>
      <c r="R29" s="217" t="str">
        <f ca="1">IF(ISERROR($V29),"",OFFSET('Smelter Look-up'!$C$4,$V29-4,0)&amp;"")</f>
        <v>Minsur</v>
      </c>
      <c r="S29" s="225" t="str">
        <f t="shared" ca="1" si="3"/>
        <v>PE</v>
      </c>
      <c r="T29" s="225" t="str">
        <f ca="1">IF(B29="","",IF(ISERROR(MATCH($J29,SorP!$B$1:$B$6230,0)),"",INDIRECT("'SorP'!$A$"&amp;MATCH($J29,SorP!$B$1:$B$6230,0))))</f>
        <v>PE-ICA</v>
      </c>
      <c r="U29" s="241"/>
      <c r="V29" s="275">
        <f ca="1">IF(C29="",NA(),MATCH($B29&amp;$C29,'Smelter Look-up'!$J:$J,0))</f>
        <v>424</v>
      </c>
      <c r="W29" s="276"/>
      <c r="X29" s="276">
        <f t="shared" ca="1" si="4"/>
        <v>0</v>
      </c>
      <c r="Y29" s="276"/>
      <c r="Z29" s="276"/>
      <c r="AB29" s="278" t="str">
        <f t="shared" ca="1" si="5"/>
        <v>TinMinsur</v>
      </c>
    </row>
    <row r="30" spans="1:28" s="277" customFormat="1" ht="20.25">
      <c r="A30" s="450" t="s">
        <v>795</v>
      </c>
      <c r="B30" s="217" t="str">
        <f ca="1">IF(LEN(A30)=0,"",INDEX('Smelter Look-up'!$A:$A,MATCH($A30,'Smelter Look-up'!$E:$E,0)))</f>
        <v>Tin</v>
      </c>
      <c r="C30" s="221" t="str">
        <f ca="1">IF(LEN(A30)=0,"",INDEX('Smelter Look-up'!$C:$C,MATCH($A30,'Smelter Look-up'!$E:$E,0)))</f>
        <v>Mitsubishi Materials Corporation</v>
      </c>
      <c r="D30" s="283"/>
      <c r="E30" s="217" t="str">
        <f ca="1">IF(ISERROR($V30),"",OFFSET('Smelter Look-up'!$D$4,$V30-4,0)&amp;"")</f>
        <v>JAPAN</v>
      </c>
      <c r="F30" s="217" t="str">
        <f ca="1">IF(ISERROR($V30),"",OFFSET('Smelter Look-up'!$E$4,$V30-4,0))</f>
        <v>CID001191</v>
      </c>
      <c r="G30" s="217" t="str">
        <f ca="1">IF(C30=$X$4,"Enter smelter details",IF(ISERROR($V30),"",OFFSET('Smelter Look-up'!$F$4,$V30-4,0)))</f>
        <v>RMI</v>
      </c>
      <c r="H30" s="218">
        <f ca="1">IF(ISERROR($V30),"",OFFSET('Smelter Look-up'!$G$4,$V30-4,0))</f>
        <v>0</v>
      </c>
      <c r="I30" s="219" t="str">
        <f ca="1">IF(ISERROR($V30),"",OFFSET('Smelter Look-up'!$H$4,$V30-4,0))</f>
        <v>Asago</v>
      </c>
      <c r="J30" s="219" t="str">
        <f ca="1">IF(ISERROR($V30),"",OFFSET('Smelter Look-up'!$I$4,$V30-4,0))</f>
        <v>Hyogo</v>
      </c>
      <c r="K30" s="273"/>
      <c r="L30" s="273"/>
      <c r="M30" s="273"/>
      <c r="N30" s="273"/>
      <c r="O30" s="273"/>
      <c r="P30" s="220"/>
      <c r="Q30" s="274"/>
      <c r="R30" s="217" t="str">
        <f ca="1">IF(ISERROR($V30),"",OFFSET('Smelter Look-up'!$C$4,$V30-4,0)&amp;"")</f>
        <v>Mitsubishi Materials Corporation</v>
      </c>
      <c r="S30" s="225" t="str">
        <f t="shared" ca="1" si="3"/>
        <v>JP</v>
      </c>
      <c r="T30" s="225" t="str">
        <f ca="1">IF(B30="","",IF(ISERROR(MATCH($J30,SorP!$B$1:$B$6230,0)),"",INDIRECT("'SorP'!$A$"&amp;MATCH($J30,SorP!$B$1:$B$6230,0))))</f>
        <v>JP-28</v>
      </c>
      <c r="U30" s="241"/>
      <c r="V30" s="275">
        <f ca="1">IF(C30="",NA(),MATCH($B30&amp;$C30,'Smelter Look-up'!$J:$J,0))</f>
        <v>425</v>
      </c>
      <c r="W30" s="276"/>
      <c r="X30" s="276">
        <f t="shared" ca="1" si="4"/>
        <v>0</v>
      </c>
      <c r="Y30" s="276"/>
      <c r="Z30" s="276"/>
      <c r="AB30" s="278" t="str">
        <f t="shared" ca="1" si="5"/>
        <v>TinMitsubishi Materials Corporation</v>
      </c>
    </row>
    <row r="31" spans="1:28" s="277" customFormat="1" ht="20.25">
      <c r="A31" s="450" t="s">
        <v>797</v>
      </c>
      <c r="B31" s="217" t="str">
        <f ca="1">IF(LEN(A31)=0,"",INDEX('Smelter Look-up'!$A:$A,MATCH($A31,'Smelter Look-up'!$E:$E,0)))</f>
        <v>Tin</v>
      </c>
      <c r="C31" s="221" t="str">
        <f ca="1">IF(LEN(A31)=0,"",INDEX('Smelter Look-up'!$C:$C,MATCH($A31,'Smelter Look-up'!$E:$E,0)))</f>
        <v>O.M. Manufacturing (Thailand) Co., Ltd.</v>
      </c>
      <c r="D31" s="283"/>
      <c r="E31" s="217" t="str">
        <f ca="1">IF(ISERROR($V31),"",OFFSET('Smelter Look-up'!$D$4,$V31-4,0)&amp;"")</f>
        <v>THAILAND</v>
      </c>
      <c r="F31" s="217" t="str">
        <f ca="1">IF(ISERROR($V31),"",OFFSET('Smelter Look-up'!$E$4,$V31-4,0))</f>
        <v>CID001314</v>
      </c>
      <c r="G31" s="217" t="str">
        <f ca="1">IF(C31=$X$4,"Enter smelter details",IF(ISERROR($V31),"",OFFSET('Smelter Look-up'!$F$4,$V31-4,0)))</f>
        <v>RMI</v>
      </c>
      <c r="H31" s="218">
        <f ca="1">IF(ISERROR($V31),"",OFFSET('Smelter Look-up'!$G$4,$V31-4,0))</f>
        <v>0</v>
      </c>
      <c r="I31" s="219" t="str">
        <f ca="1">IF(ISERROR($V31),"",OFFSET('Smelter Look-up'!$H$4,$V31-4,0))</f>
        <v>Nongkham Sriracha</v>
      </c>
      <c r="J31" s="219" t="str">
        <f ca="1">IF(ISERROR($V31),"",OFFSET('Smelter Look-up'!$I$4,$V31-4,0))</f>
        <v>Chon Buri</v>
      </c>
      <c r="K31" s="273"/>
      <c r="L31" s="273"/>
      <c r="M31" s="273"/>
      <c r="N31" s="273"/>
      <c r="O31" s="273"/>
      <c r="P31" s="220"/>
      <c r="Q31" s="274"/>
      <c r="R31" s="217" t="str">
        <f ca="1">IF(ISERROR($V31),"",OFFSET('Smelter Look-up'!$C$4,$V31-4,0)&amp;"")</f>
        <v>O.M. Manufacturing (Thailand) Co., Ltd.</v>
      </c>
      <c r="S31" s="225" t="str">
        <f t="shared" ca="1" si="3"/>
        <v>TH</v>
      </c>
      <c r="T31" s="225" t="str">
        <f ca="1">IF(B31="","",IF(ISERROR(MATCH($J31,SorP!$B$1:$B$6230,0)),"",INDIRECT("'SorP'!$A$"&amp;MATCH($J31,SorP!$B$1:$B$6230,0))))</f>
        <v>TH-20</v>
      </c>
      <c r="U31" s="241"/>
      <c r="V31" s="275">
        <f ca="1">IF(C31="",NA(),MATCH($B31&amp;$C31,'Smelter Look-up'!$J:$J,0))</f>
        <v>431</v>
      </c>
      <c r="W31" s="276"/>
      <c r="X31" s="276">
        <f t="shared" ca="1" si="4"/>
        <v>0</v>
      </c>
      <c r="Y31" s="276"/>
      <c r="Z31" s="276"/>
      <c r="AB31" s="278" t="str">
        <f t="shared" ca="1" si="5"/>
        <v>TinO.M. Manufacturing (Thailand) Co., Ltd.</v>
      </c>
    </row>
    <row r="32" spans="1:28" s="277" customFormat="1" ht="20.25">
      <c r="A32" s="450" t="s">
        <v>1425</v>
      </c>
      <c r="B32" s="217" t="str">
        <f ca="1">IF(LEN(A32)=0,"",INDEX('Smelter Look-up'!$A:$A,MATCH($A32,'Smelter Look-up'!$E:$E,0)))</f>
        <v>Tin</v>
      </c>
      <c r="C32" s="221" t="str">
        <f ca="1">IF(LEN(A32)=0,"",INDEX('Smelter Look-up'!$C:$C,MATCH($A32,'Smelter Look-up'!$E:$E,0)))</f>
        <v>O.M. Manufacturing Philippines, Inc.</v>
      </c>
      <c r="D32" s="283"/>
      <c r="E32" s="217" t="str">
        <f ca="1">IF(ISERROR($V32),"",OFFSET('Smelter Look-up'!$D$4,$V32-4,0)&amp;"")</f>
        <v>PHILIPPINES</v>
      </c>
      <c r="F32" s="217" t="str">
        <f ca="1">IF(ISERROR($V32),"",OFFSET('Smelter Look-up'!$E$4,$V32-4,0))</f>
        <v>CID002517</v>
      </c>
      <c r="G32" s="217" t="str">
        <f ca="1">IF(C32=$X$4,"Enter smelter details",IF(ISERROR($V32),"",OFFSET('Smelter Look-up'!$F$4,$V32-4,0)))</f>
        <v>RMI</v>
      </c>
      <c r="H32" s="218">
        <f ca="1">IF(ISERROR($V32),"",OFFSET('Smelter Look-up'!$G$4,$V32-4,0))</f>
        <v>0</v>
      </c>
      <c r="I32" s="219" t="str">
        <f ca="1">IF(ISERROR($V32),"",OFFSET('Smelter Look-up'!$H$4,$V32-4,0))</f>
        <v>Rosario</v>
      </c>
      <c r="J32" s="219" t="str">
        <f ca="1">IF(ISERROR($V32),"",OFFSET('Smelter Look-up'!$I$4,$V32-4,0))</f>
        <v>Cavite</v>
      </c>
      <c r="K32" s="273"/>
      <c r="L32" s="273"/>
      <c r="M32" s="273"/>
      <c r="N32" s="273"/>
      <c r="O32" s="273"/>
      <c r="P32" s="220"/>
      <c r="Q32" s="274"/>
      <c r="R32" s="217" t="str">
        <f ca="1">IF(ISERROR($V32),"",OFFSET('Smelter Look-up'!$C$4,$V32-4,0)&amp;"")</f>
        <v>O.M. Manufacturing Philippines, Inc.</v>
      </c>
      <c r="S32" s="225" t="str">
        <f t="shared" ca="1" si="3"/>
        <v>PH</v>
      </c>
      <c r="T32" s="225" t="str">
        <f ca="1">IF(B32="","",IF(ISERROR(MATCH($J32,SorP!$B$1:$B$6230,0)),"",INDIRECT("'SorP'!$A$"&amp;MATCH($J32,SorP!$B$1:$B$6230,0))))</f>
        <v>PH-CAV</v>
      </c>
      <c r="U32" s="241"/>
      <c r="V32" s="275">
        <f ca="1">IF(C32="",NA(),MATCH($B32&amp;$C32,'Smelter Look-up'!$J:$J,0))</f>
        <v>432</v>
      </c>
      <c r="W32" s="276"/>
      <c r="X32" s="276">
        <f t="shared" ca="1" si="4"/>
        <v>0</v>
      </c>
      <c r="Y32" s="276"/>
      <c r="Z32" s="276"/>
      <c r="AB32" s="278" t="str">
        <f t="shared" ca="1" si="5"/>
        <v>TinO.M. Manufacturing Philippines, Inc.</v>
      </c>
    </row>
    <row r="33" spans="1:28" s="277" customFormat="1" ht="20.25">
      <c r="A33" s="450" t="s">
        <v>798</v>
      </c>
      <c r="B33" s="217" t="str">
        <f ca="1">IF(LEN(A33)=0,"",INDEX('Smelter Look-up'!$A:$A,MATCH($A33,'Smelter Look-up'!$E:$E,0)))</f>
        <v>Tin</v>
      </c>
      <c r="C33" s="221" t="str">
        <f ca="1">IF(LEN(A33)=0,"",INDEX('Smelter Look-up'!$C:$C,MATCH($A33,'Smelter Look-up'!$E:$E,0)))</f>
        <v>Operaciones Metalurgicas S.A.</v>
      </c>
      <c r="D33" s="283"/>
      <c r="E33" s="217" t="str">
        <f ca="1">IF(ISERROR($V33),"",OFFSET('Smelter Look-up'!$D$4,$V33-4,0)&amp;"")</f>
        <v>BOLIVIA (PLURINATIONAL STATE OF)</v>
      </c>
      <c r="F33" s="217" t="str">
        <f ca="1">IF(ISERROR($V33),"",OFFSET('Smelter Look-up'!$E$4,$V33-4,0))</f>
        <v>CID001337</v>
      </c>
      <c r="G33" s="217" t="str">
        <f ca="1">IF(C33=$X$4,"Enter smelter details",IF(ISERROR($V33),"",OFFSET('Smelter Look-up'!$F$4,$V33-4,0)))</f>
        <v>RMI</v>
      </c>
      <c r="H33" s="218">
        <f ca="1">IF(ISERROR($V33),"",OFFSET('Smelter Look-up'!$G$4,$V33-4,0))</f>
        <v>0</v>
      </c>
      <c r="I33" s="219" t="str">
        <f ca="1">IF(ISERROR($V33),"",OFFSET('Smelter Look-up'!$H$4,$V33-4,0))</f>
        <v>Oruro</v>
      </c>
      <c r="J33" s="219" t="str">
        <f ca="1">IF(ISERROR($V33),"",OFFSET('Smelter Look-up'!$I$4,$V33-4,0))</f>
        <v>Oruro</v>
      </c>
      <c r="K33" s="273"/>
      <c r="L33" s="273"/>
      <c r="M33" s="273"/>
      <c r="N33" s="273"/>
      <c r="O33" s="273"/>
      <c r="P33" s="220"/>
      <c r="Q33" s="274"/>
      <c r="R33" s="217" t="str">
        <f ca="1">IF(ISERROR($V33),"",OFFSET('Smelter Look-up'!$C$4,$V33-4,0)&amp;"")</f>
        <v>Operaciones Metalurgicas S.A.</v>
      </c>
      <c r="S33" s="225" t="str">
        <f t="shared" ca="1" si="3"/>
        <v>BO</v>
      </c>
      <c r="T33" s="225" t="str">
        <f ca="1">IF(B33="","",IF(ISERROR(MATCH($J33,SorP!$B$1:$B$6230,0)),"",INDIRECT("'SorP'!$A$"&amp;MATCH($J33,SorP!$B$1:$B$6230,0))))</f>
        <v>BO-O</v>
      </c>
      <c r="U33" s="241"/>
      <c r="V33" s="275">
        <f ca="1">IF(C33="",NA(),MATCH($B33&amp;$C33,'Smelter Look-up'!$J:$J,0))</f>
        <v>434</v>
      </c>
      <c r="W33" s="276"/>
      <c r="X33" s="276">
        <f t="shared" ca="1" si="4"/>
        <v>0</v>
      </c>
      <c r="Y33" s="276"/>
      <c r="Z33" s="276"/>
      <c r="AB33" s="278" t="str">
        <f t="shared" ca="1" si="5"/>
        <v>TinOperaciones Metalurgicas S.A.</v>
      </c>
    </row>
    <row r="34" spans="1:28" s="277" customFormat="1" ht="20.25">
      <c r="A34" s="450" t="s">
        <v>799</v>
      </c>
      <c r="B34" s="217" t="str">
        <f ca="1">IF(LEN(A34)=0,"",INDEX('Smelter Look-up'!$A:$A,MATCH($A34,'Smelter Look-up'!$E:$E,0)))</f>
        <v>Tin</v>
      </c>
      <c r="C34" s="221" t="str">
        <f ca="1">IF(LEN(A34)=0,"",INDEX('Smelter Look-up'!$C:$C,MATCH($A34,'Smelter Look-up'!$E:$E,0)))</f>
        <v>PT Artha Cipta Langgeng</v>
      </c>
      <c r="D34" s="283"/>
      <c r="E34" s="217" t="str">
        <f ca="1">IF(ISERROR($V34),"",OFFSET('Smelter Look-up'!$D$4,$V34-4,0)&amp;"")</f>
        <v>INDONESIA</v>
      </c>
      <c r="F34" s="217" t="str">
        <f ca="1">IF(ISERROR($V34),"",OFFSET('Smelter Look-up'!$E$4,$V34-4,0))</f>
        <v>CID001399</v>
      </c>
      <c r="G34" s="217" t="str">
        <f ca="1">IF(C34=$X$4,"Enter smelter details",IF(ISERROR($V34),"",OFFSET('Smelter Look-up'!$F$4,$V34-4,0)))</f>
        <v>RMI</v>
      </c>
      <c r="H34" s="218">
        <f ca="1">IF(ISERROR($V34),"",OFFSET('Smelter Look-up'!$G$4,$V34-4,0))</f>
        <v>0</v>
      </c>
      <c r="I34" s="219" t="str">
        <f ca="1">IF(ISERROR($V34),"",OFFSET('Smelter Look-up'!$H$4,$V34-4,0))</f>
        <v>Sungailiat</v>
      </c>
      <c r="J34" s="219" t="str">
        <f ca="1">IF(ISERROR($V34),"",OFFSET('Smelter Look-up'!$I$4,$V34-4,0))</f>
        <v>Kepulauan Bangka Belitung</v>
      </c>
      <c r="K34" s="273"/>
      <c r="L34" s="273"/>
      <c r="M34" s="273"/>
      <c r="N34" s="273"/>
      <c r="O34" s="273"/>
      <c r="P34" s="220"/>
      <c r="Q34" s="274"/>
      <c r="R34" s="217" t="str">
        <f ca="1">IF(ISERROR($V34),"",OFFSET('Smelter Look-up'!$C$4,$V34-4,0)&amp;"")</f>
        <v>PT Artha Cipta Langgeng</v>
      </c>
      <c r="S34" s="225" t="str">
        <f t="shared" ca="1" si="3"/>
        <v>ID</v>
      </c>
      <c r="T34" s="225" t="str">
        <f ca="1">IF(B34="","",IF(ISERROR(MATCH($J34,SorP!$B$1:$B$6230,0)),"",INDIRECT("'SorP'!$A$"&amp;MATCH($J34,SorP!$B$1:$B$6230,0))))</f>
        <v>ID-BB</v>
      </c>
      <c r="U34" s="241"/>
      <c r="V34" s="275">
        <f ca="1">IF(C34="",NA(),MATCH($B34&amp;$C34,'Smelter Look-up'!$J:$J,0))</f>
        <v>438</v>
      </c>
      <c r="W34" s="276"/>
      <c r="X34" s="276">
        <f t="shared" ca="1" si="4"/>
        <v>0</v>
      </c>
      <c r="Y34" s="276"/>
      <c r="Z34" s="276"/>
      <c r="AB34" s="278" t="str">
        <f t="shared" ca="1" si="5"/>
        <v>TinPT Artha Cipta Langgeng</v>
      </c>
    </row>
    <row r="35" spans="1:28" s="277" customFormat="1" ht="20.25">
      <c r="A35" s="450" t="s">
        <v>1427</v>
      </c>
      <c r="B35" s="217" t="str">
        <f ca="1">IF(LEN(A35)=0,"",INDEX('Smelter Look-up'!$A:$A,MATCH($A35,'Smelter Look-up'!$E:$E,0)))</f>
        <v>Tin</v>
      </c>
      <c r="C35" s="221" t="str">
        <f ca="1">IF(LEN(A35)=0,"",INDEX('Smelter Look-up'!$C:$C,MATCH($A35,'Smelter Look-up'!$E:$E,0)))</f>
        <v>PT ATD Makmur Mandiri Jaya</v>
      </c>
      <c r="D35" s="283"/>
      <c r="E35" s="217" t="str">
        <f ca="1">IF(ISERROR($V35),"",OFFSET('Smelter Look-up'!$D$4,$V35-4,0)&amp;"")</f>
        <v>INDONESIA</v>
      </c>
      <c r="F35" s="217" t="str">
        <f ca="1">IF(ISERROR($V35),"",OFFSET('Smelter Look-up'!$E$4,$V35-4,0))</f>
        <v>CID002503</v>
      </c>
      <c r="G35" s="217" t="str">
        <f ca="1">IF(C35=$X$4,"Enter smelter details",IF(ISERROR($V35),"",OFFSET('Smelter Look-up'!$F$4,$V35-4,0)))</f>
        <v>RMI</v>
      </c>
      <c r="H35" s="218">
        <f ca="1">IF(ISERROR($V35),"",OFFSET('Smelter Look-up'!$G$4,$V35-4,0))</f>
        <v>0</v>
      </c>
      <c r="I35" s="219" t="str">
        <f ca="1">IF(ISERROR($V35),"",OFFSET('Smelter Look-up'!$H$4,$V35-4,0))</f>
        <v>Sungailiat</v>
      </c>
      <c r="J35" s="219" t="str">
        <f ca="1">IF(ISERROR($V35),"",OFFSET('Smelter Look-up'!$I$4,$V35-4,0))</f>
        <v>Kepulauan Bangka Belitung</v>
      </c>
      <c r="K35" s="273"/>
      <c r="L35" s="273"/>
      <c r="M35" s="273"/>
      <c r="N35" s="273"/>
      <c r="O35" s="273"/>
      <c r="P35" s="220"/>
      <c r="Q35" s="274"/>
      <c r="R35" s="217" t="str">
        <f ca="1">IF(ISERROR($V35),"",OFFSET('Smelter Look-up'!$C$4,$V35-4,0)&amp;"")</f>
        <v>PT ATD Makmur Mandiri Jaya</v>
      </c>
      <c r="S35" s="225" t="str">
        <f t="shared" ca="1" si="3"/>
        <v>ID</v>
      </c>
      <c r="T35" s="225" t="str">
        <f ca="1">IF(B35="","",IF(ISERROR(MATCH($J35,SorP!$B$1:$B$6230,0)),"",INDIRECT("'SorP'!$A$"&amp;MATCH($J35,SorP!$B$1:$B$6230,0))))</f>
        <v>ID-BB</v>
      </c>
      <c r="U35" s="241"/>
      <c r="V35" s="275">
        <f ca="1">IF(C35="",NA(),MATCH($B35&amp;$C35,'Smelter Look-up'!$J:$J,0))</f>
        <v>439</v>
      </c>
      <c r="W35" s="276"/>
      <c r="X35" s="276">
        <f t="shared" ca="1" si="4"/>
        <v>0</v>
      </c>
      <c r="Y35" s="276"/>
      <c r="Z35" s="276"/>
      <c r="AB35" s="278" t="str">
        <f t="shared" ca="1" si="5"/>
        <v>TinPT ATD Makmur Mandiri Jaya</v>
      </c>
    </row>
    <row r="36" spans="1:28" s="277" customFormat="1" ht="20.25">
      <c r="A36" s="450" t="s">
        <v>800</v>
      </c>
      <c r="B36" s="217" t="str">
        <f ca="1">IF(LEN(A36)=0,"",INDEX('Smelter Look-up'!$A:$A,MATCH($A36,'Smelter Look-up'!$E:$E,0)))</f>
        <v>Tin</v>
      </c>
      <c r="C36" s="221" t="str">
        <f ca="1">IF(LEN(A36)=0,"",INDEX('Smelter Look-up'!$C:$C,MATCH($A36,'Smelter Look-up'!$E:$E,0)))</f>
        <v>PT Mitra Stania Prima</v>
      </c>
      <c r="D36" s="283"/>
      <c r="E36" s="217" t="str">
        <f ca="1">IF(ISERROR($V36),"",OFFSET('Smelter Look-up'!$D$4,$V36-4,0)&amp;"")</f>
        <v>INDONESIA</v>
      </c>
      <c r="F36" s="217" t="str">
        <f ca="1">IF(ISERROR($V36),"",OFFSET('Smelter Look-up'!$E$4,$V36-4,0))</f>
        <v>CID001453</v>
      </c>
      <c r="G36" s="217" t="str">
        <f ca="1">IF(C36=$X$4,"Enter smelter details",IF(ISERROR($V36),"",OFFSET('Smelter Look-up'!$F$4,$V36-4,0)))</f>
        <v>RMI</v>
      </c>
      <c r="H36" s="218">
        <f ca="1">IF(ISERROR($V36),"",OFFSET('Smelter Look-up'!$G$4,$V36-4,0))</f>
        <v>0</v>
      </c>
      <c r="I36" s="219" t="str">
        <f ca="1">IF(ISERROR($V36),"",OFFSET('Smelter Look-up'!$H$4,$V36-4,0))</f>
        <v>Sungailiat</v>
      </c>
      <c r="J36" s="219" t="str">
        <f ca="1">IF(ISERROR($V36),"",OFFSET('Smelter Look-up'!$I$4,$V36-4,0))</f>
        <v>Kepulauan Bangka Belitung</v>
      </c>
      <c r="K36" s="273"/>
      <c r="L36" s="273"/>
      <c r="M36" s="273"/>
      <c r="N36" s="273"/>
      <c r="O36" s="273"/>
      <c r="P36" s="220"/>
      <c r="Q36" s="274"/>
      <c r="R36" s="217" t="str">
        <f ca="1">IF(ISERROR($V36),"",OFFSET('Smelter Look-up'!$C$4,$V36-4,0)&amp;"")</f>
        <v>PT Mitra Stania Prima</v>
      </c>
      <c r="S36" s="225" t="str">
        <f t="shared" ca="1" si="3"/>
        <v>ID</v>
      </c>
      <c r="T36" s="225" t="str">
        <f ca="1">IF(B36="","",IF(ISERROR(MATCH($J36,SorP!$B$1:$B$6230,0)),"",INDIRECT("'SorP'!$A$"&amp;MATCH($J36,SorP!$B$1:$B$6230,0))))</f>
        <v>ID-BB</v>
      </c>
      <c r="U36" s="241"/>
      <c r="V36" s="275">
        <f ca="1">IF(C36="",NA(),MATCH($B36&amp;$C36,'Smelter Look-up'!$J:$J,0))</f>
        <v>441</v>
      </c>
      <c r="W36" s="276"/>
      <c r="X36" s="276">
        <f t="shared" ca="1" si="4"/>
        <v>0</v>
      </c>
      <c r="Y36" s="276"/>
      <c r="Z36" s="276"/>
      <c r="AB36" s="278" t="str">
        <f t="shared" ca="1" si="5"/>
        <v>TinPT Mitra Stania Prima</v>
      </c>
    </row>
    <row r="37" spans="1:28" s="277" customFormat="1" ht="20.25">
      <c r="A37" s="450" t="s">
        <v>801</v>
      </c>
      <c r="B37" s="217" t="str">
        <f ca="1">IF(LEN(A37)=0,"",INDEX('Smelter Look-up'!$A:$A,MATCH($A37,'Smelter Look-up'!$E:$E,0)))</f>
        <v>Tin</v>
      </c>
      <c r="C37" s="221" t="str">
        <f ca="1">IF(LEN(A37)=0,"",INDEX('Smelter Look-up'!$C:$C,MATCH($A37,'Smelter Look-up'!$E:$E,0)))</f>
        <v>PT Refined Bangka Tin</v>
      </c>
      <c r="D37" s="283"/>
      <c r="E37" s="217" t="str">
        <f ca="1">IF(ISERROR($V37),"",OFFSET('Smelter Look-up'!$D$4,$V37-4,0)&amp;"")</f>
        <v>INDONESIA</v>
      </c>
      <c r="F37" s="217" t="str">
        <f ca="1">IF(ISERROR($V37),"",OFFSET('Smelter Look-up'!$E$4,$V37-4,0))</f>
        <v>CID001460</v>
      </c>
      <c r="G37" s="217" t="str">
        <f ca="1">IF(C37=$X$4,"Enter smelter details",IF(ISERROR($V37),"",OFFSET('Smelter Look-up'!$F$4,$V37-4,0)))</f>
        <v>RMI</v>
      </c>
      <c r="H37" s="218">
        <f ca="1">IF(ISERROR($V37),"",OFFSET('Smelter Look-up'!$G$4,$V37-4,0))</f>
        <v>0</v>
      </c>
      <c r="I37" s="219" t="str">
        <f ca="1">IF(ISERROR($V37),"",OFFSET('Smelter Look-up'!$H$4,$V37-4,0))</f>
        <v>Sungailiat</v>
      </c>
      <c r="J37" s="219" t="str">
        <f ca="1">IF(ISERROR($V37),"",OFFSET('Smelter Look-up'!$I$4,$V37-4,0))</f>
        <v>Kepulauan Bangka Belitung</v>
      </c>
      <c r="K37" s="273"/>
      <c r="L37" s="273"/>
      <c r="M37" s="273"/>
      <c r="N37" s="273"/>
      <c r="O37" s="273"/>
      <c r="P37" s="220"/>
      <c r="Q37" s="274"/>
      <c r="R37" s="217" t="str">
        <f ca="1">IF(ISERROR($V37),"",OFFSET('Smelter Look-up'!$C$4,$V37-4,0)&amp;"")</f>
        <v>PT Refined Bangka Tin</v>
      </c>
      <c r="S37" s="225" t="str">
        <f t="shared" ca="1" si="3"/>
        <v>ID</v>
      </c>
      <c r="T37" s="225" t="str">
        <f ca="1">IF(B37="","",IF(ISERROR(MATCH($J37,SorP!$B$1:$B$6230,0)),"",INDIRECT("'SorP'!$A$"&amp;MATCH($J37,SorP!$B$1:$B$6230,0))))</f>
        <v>ID-BB</v>
      </c>
      <c r="U37" s="241"/>
      <c r="V37" s="275">
        <f ca="1">IF(C37="",NA(),MATCH($B37&amp;$C37,'Smelter Look-up'!$J:$J,0))</f>
        <v>443</v>
      </c>
      <c r="W37" s="276"/>
      <c r="X37" s="276">
        <f t="shared" ca="1" si="4"/>
        <v>0</v>
      </c>
      <c r="Y37" s="276"/>
      <c r="Z37" s="276"/>
      <c r="AB37" s="278" t="str">
        <f t="shared" ca="1" si="5"/>
        <v>TinPT Refined Bangka Tin</v>
      </c>
    </row>
    <row r="38" spans="1:28" s="277" customFormat="1" ht="20.25">
      <c r="A38" s="450" t="s">
        <v>824</v>
      </c>
      <c r="B38" s="217" t="str">
        <f ca="1">IF(LEN(A38)=0,"",INDEX('Smelter Look-up'!$A:$A,MATCH($A38,'Smelter Look-up'!$E:$E,0)))</f>
        <v>Tin</v>
      </c>
      <c r="C38" s="221" t="str">
        <f ca="1">IF(LEN(A38)=0,"",INDEX('Smelter Look-up'!$C:$C,MATCH($A38,'Smelter Look-up'!$E:$E,0)))</f>
        <v>PT Timah Tbk Kundur</v>
      </c>
      <c r="D38" s="283"/>
      <c r="E38" s="217" t="str">
        <f ca="1">IF(ISERROR($V38),"",OFFSET('Smelter Look-up'!$D$4,$V38-4,0)&amp;"")</f>
        <v>INDONESIA</v>
      </c>
      <c r="F38" s="217" t="str">
        <f ca="1">IF(ISERROR($V38),"",OFFSET('Smelter Look-up'!$E$4,$V38-4,0))</f>
        <v>CID001477</v>
      </c>
      <c r="G38" s="217" t="str">
        <f ca="1">IF(C38=$X$4,"Enter smelter details",IF(ISERROR($V38),"",OFFSET('Smelter Look-up'!$F$4,$V38-4,0)))</f>
        <v>RMI</v>
      </c>
      <c r="H38" s="218">
        <f ca="1">IF(ISERROR($V38),"",OFFSET('Smelter Look-up'!$G$4,$V38-4,0))</f>
        <v>0</v>
      </c>
      <c r="I38" s="219" t="str">
        <f ca="1">IF(ISERROR($V38),"",OFFSET('Smelter Look-up'!$H$4,$V38-4,0))</f>
        <v>Kundur</v>
      </c>
      <c r="J38" s="219" t="str">
        <f ca="1">IF(ISERROR($V38),"",OFFSET('Smelter Look-up'!$I$4,$V38-4,0))</f>
        <v>Riau</v>
      </c>
      <c r="K38" s="273"/>
      <c r="L38" s="273"/>
      <c r="M38" s="273"/>
      <c r="N38" s="273"/>
      <c r="O38" s="273"/>
      <c r="P38" s="220"/>
      <c r="Q38" s="274"/>
      <c r="R38" s="217" t="str">
        <f ca="1">IF(ISERROR($V38),"",OFFSET('Smelter Look-up'!$C$4,$V38-4,0)&amp;"")</f>
        <v>PT Timah Tbk Kundur</v>
      </c>
      <c r="S38" s="225" t="str">
        <f t="shared" ref="S38:S68" ca="1" si="6">IF(B38="","",IF(ISERROR(MATCH($E38,CL,0)),"Unknown",INDIRECT("'C'!$A$"&amp;MATCH($E38,CL,0)+1)))</f>
        <v>ID</v>
      </c>
      <c r="T38" s="225" t="str">
        <f ca="1">IF(B38="","",IF(ISERROR(MATCH($J38,SorP!$B$1:$B$6230,0)),"",INDIRECT("'SorP'!$A$"&amp;MATCH($J38,SorP!$B$1:$B$6230,0))))</f>
        <v>ID-RI</v>
      </c>
      <c r="U38" s="241"/>
      <c r="V38" s="275">
        <f ca="1">IF(C38="",NA(),MATCH($B38&amp;$C38,'Smelter Look-up'!$J:$J,0))</f>
        <v>445</v>
      </c>
      <c r="W38" s="276"/>
      <c r="X38" s="276">
        <f t="shared" ref="X38:X68" ca="1" si="7">IF(AND(C38="Smelter not listed",OR(LEN(D38)=0,LEN(E38)=0)),1,0)</f>
        <v>0</v>
      </c>
      <c r="Y38" s="276"/>
      <c r="Z38" s="276"/>
      <c r="AB38" s="278" t="str">
        <f t="shared" ref="AB38:AB68" ca="1" si="8">B38&amp;C38</f>
        <v>TinPT Timah Tbk Kundur</v>
      </c>
    </row>
    <row r="39" spans="1:28" s="277" customFormat="1" ht="20.25">
      <c r="A39" s="450" t="s">
        <v>802</v>
      </c>
      <c r="B39" s="217" t="str">
        <f ca="1">IF(LEN(A39)=0,"",INDEX('Smelter Look-up'!$A:$A,MATCH($A39,'Smelter Look-up'!$E:$E,0)))</f>
        <v>Tin</v>
      </c>
      <c r="C39" s="221" t="str">
        <f ca="1">IF(LEN(A39)=0,"",INDEX('Smelter Look-up'!$C:$C,MATCH($A39,'Smelter Look-up'!$E:$E,0)))</f>
        <v>PT Timah Tbk Mentok</v>
      </c>
      <c r="D39" s="283"/>
      <c r="E39" s="217" t="str">
        <f ca="1">IF(ISERROR($V39),"",OFFSET('Smelter Look-up'!$D$4,$V39-4,0)&amp;"")</f>
        <v>INDONESIA</v>
      </c>
      <c r="F39" s="217" t="str">
        <f ca="1">IF(ISERROR($V39),"",OFFSET('Smelter Look-up'!$E$4,$V39-4,0))</f>
        <v>CID001482</v>
      </c>
      <c r="G39" s="217" t="str">
        <f ca="1">IF(C39=$X$4,"Enter smelter details",IF(ISERROR($V39),"",OFFSET('Smelter Look-up'!$F$4,$V39-4,0)))</f>
        <v>RMI</v>
      </c>
      <c r="H39" s="218">
        <f ca="1">IF(ISERROR($V39),"",OFFSET('Smelter Look-up'!$G$4,$V39-4,0))</f>
        <v>0</v>
      </c>
      <c r="I39" s="219" t="str">
        <f ca="1">IF(ISERROR($V39),"",OFFSET('Smelter Look-up'!$H$4,$V39-4,0))</f>
        <v>Mentok</v>
      </c>
      <c r="J39" s="219" t="str">
        <f ca="1">IF(ISERROR($V39),"",OFFSET('Smelter Look-up'!$I$4,$V39-4,0))</f>
        <v>Kepulauan Bangka Belitung</v>
      </c>
      <c r="K39" s="273"/>
      <c r="L39" s="273"/>
      <c r="M39" s="273"/>
      <c r="N39" s="273"/>
      <c r="O39" s="273"/>
      <c r="P39" s="220"/>
      <c r="Q39" s="274"/>
      <c r="R39" s="217" t="str">
        <f ca="1">IF(ISERROR($V39),"",OFFSET('Smelter Look-up'!$C$4,$V39-4,0)&amp;"")</f>
        <v>PT Timah Tbk Mentok</v>
      </c>
      <c r="S39" s="225" t="str">
        <f t="shared" ca="1" si="6"/>
        <v>ID</v>
      </c>
      <c r="T39" s="225" t="str">
        <f ca="1">IF(B39="","",IF(ISERROR(MATCH($J39,SorP!$B$1:$B$6230,0)),"",INDIRECT("'SorP'!$A$"&amp;MATCH($J39,SorP!$B$1:$B$6230,0))))</f>
        <v>ID-BB</v>
      </c>
      <c r="U39" s="241"/>
      <c r="V39" s="275">
        <f ca="1">IF(C39="",NA(),MATCH($B39&amp;$C39,'Smelter Look-up'!$J:$J,0))</f>
        <v>446</v>
      </c>
      <c r="W39" s="276"/>
      <c r="X39" s="276">
        <f t="shared" ca="1" si="7"/>
        <v>0</v>
      </c>
      <c r="Y39" s="276"/>
      <c r="Z39" s="276"/>
      <c r="AB39" s="278" t="str">
        <f t="shared" ca="1" si="8"/>
        <v>TinPT Timah Tbk Mentok</v>
      </c>
    </row>
    <row r="40" spans="1:28" s="277" customFormat="1" ht="20.25">
      <c r="A40" s="450" t="s">
        <v>1855</v>
      </c>
      <c r="B40" s="217" t="str">
        <f ca="1">IF(LEN(A40)=0,"",INDEX('Smelter Look-up'!$A:$A,MATCH($A40,'Smelter Look-up'!$E:$E,0)))</f>
        <v>Tin</v>
      </c>
      <c r="C40" s="221" t="str">
        <f ca="1">IF(LEN(A40)=0,"",INDEX('Smelter Look-up'!$C:$C,MATCH($A40,'Smelter Look-up'!$E:$E,0)))</f>
        <v>Resind Industria e Comercio Ltda.</v>
      </c>
      <c r="D40" s="283"/>
      <c r="E40" s="217" t="str">
        <f ca="1">IF(ISERROR($V40),"",OFFSET('Smelter Look-up'!$D$4,$V40-4,0)&amp;"")</f>
        <v>BRAZIL</v>
      </c>
      <c r="F40" s="217" t="str">
        <f ca="1">IF(ISERROR($V40),"",OFFSET('Smelter Look-up'!$E$4,$V40-4,0))</f>
        <v>CID002706</v>
      </c>
      <c r="G40" s="217" t="str">
        <f ca="1">IF(C40=$X$4,"Enter smelter details",IF(ISERROR($V40),"",OFFSET('Smelter Look-up'!$F$4,$V40-4,0)))</f>
        <v>RMI</v>
      </c>
      <c r="H40" s="218">
        <f ca="1">IF(ISERROR($V40),"",OFFSET('Smelter Look-up'!$G$4,$V40-4,0))</f>
        <v>0</v>
      </c>
      <c r="I40" s="219" t="str">
        <f ca="1">IF(ISERROR($V40),"",OFFSET('Smelter Look-up'!$H$4,$V40-4,0))</f>
        <v>São João del Rei</v>
      </c>
      <c r="J40" s="219" t="str">
        <f ca="1">IF(ISERROR($V40),"",OFFSET('Smelter Look-up'!$I$4,$V40-4,0))</f>
        <v>Minas gerais</v>
      </c>
      <c r="K40" s="273"/>
      <c r="L40" s="273"/>
      <c r="M40" s="273"/>
      <c r="N40" s="273"/>
      <c r="O40" s="273"/>
      <c r="P40" s="220"/>
      <c r="Q40" s="274"/>
      <c r="R40" s="217" t="str">
        <f ca="1">IF(ISERROR($V40),"",OFFSET('Smelter Look-up'!$C$4,$V40-4,0)&amp;"")</f>
        <v>Resind Industria e Comercio Ltda.</v>
      </c>
      <c r="S40" s="225" t="str">
        <f t="shared" ca="1" si="6"/>
        <v>BR</v>
      </c>
      <c r="T40" s="225" t="str">
        <f ca="1">IF(B40="","",IF(ISERROR(MATCH($J40,SorP!$B$1:$B$6230,0)),"",INDIRECT("'SorP'!$A$"&amp;MATCH($J40,SorP!$B$1:$B$6230,0))))</f>
        <v>BR-MG</v>
      </c>
      <c r="U40" s="241"/>
      <c r="V40" s="275">
        <f ca="1">IF(C40="",NA(),MATCH($B40&amp;$C40,'Smelter Look-up'!$J:$J,0))</f>
        <v>448</v>
      </c>
      <c r="W40" s="276"/>
      <c r="X40" s="276">
        <f t="shared" ca="1" si="7"/>
        <v>0</v>
      </c>
      <c r="Y40" s="276"/>
      <c r="Z40" s="276"/>
      <c r="AB40" s="278" t="str">
        <f t="shared" ca="1" si="8"/>
        <v>TinResind Industria e Comercio Ltda.</v>
      </c>
    </row>
    <row r="41" spans="1:28" s="277" customFormat="1" ht="20.25">
      <c r="A41" s="450" t="s">
        <v>804</v>
      </c>
      <c r="B41" s="217" t="str">
        <f ca="1">IF(LEN(A41)=0,"",INDEX('Smelter Look-up'!$A:$A,MATCH($A41,'Smelter Look-up'!$E:$E,0)))</f>
        <v>Tin</v>
      </c>
      <c r="C41" s="221" t="str">
        <f ca="1">IF(LEN(A41)=0,"",INDEX('Smelter Look-up'!$C:$C,MATCH($A41,'Smelter Look-up'!$E:$E,0)))</f>
        <v>Rui Da Hung</v>
      </c>
      <c r="D41" s="283"/>
      <c r="E41" s="217" t="str">
        <f ca="1">IF(ISERROR($V41),"",OFFSET('Smelter Look-up'!$D$4,$V41-4,0)&amp;"")</f>
        <v>TAIWAN, PROVINCE OF CHINA</v>
      </c>
      <c r="F41" s="217" t="str">
        <f ca="1">IF(ISERROR($V41),"",OFFSET('Smelter Look-up'!$E$4,$V41-4,0))</f>
        <v>CID001539</v>
      </c>
      <c r="G41" s="217" t="str">
        <f ca="1">IF(C41=$X$4,"Enter smelter details",IF(ISERROR($V41),"",OFFSET('Smelter Look-up'!$F$4,$V41-4,0)))</f>
        <v>RMI</v>
      </c>
      <c r="H41" s="218">
        <f ca="1">IF(ISERROR($V41),"",OFFSET('Smelter Look-up'!$G$4,$V41-4,0))</f>
        <v>0</v>
      </c>
      <c r="I41" s="219" t="str">
        <f ca="1">IF(ISERROR($V41),"",OFFSET('Smelter Look-up'!$H$4,$V41-4,0))</f>
        <v>Longtan Shiang Taoyuan</v>
      </c>
      <c r="J41" s="219" t="str">
        <f ca="1">IF(ISERROR($V41),"",OFFSET('Smelter Look-up'!$I$4,$V41-4,0))</f>
        <v>Taoyuan</v>
      </c>
      <c r="K41" s="273"/>
      <c r="L41" s="273"/>
      <c r="M41" s="273"/>
      <c r="N41" s="273"/>
      <c r="O41" s="273"/>
      <c r="P41" s="220"/>
      <c r="Q41" s="274"/>
      <c r="R41" s="217" t="str">
        <f ca="1">IF(ISERROR($V41),"",OFFSET('Smelter Look-up'!$C$4,$V41-4,0)&amp;"")</f>
        <v>Rui Da Hung</v>
      </c>
      <c r="S41" s="225" t="str">
        <f t="shared" ca="1" si="6"/>
        <v>TW</v>
      </c>
      <c r="T41" s="225" t="str">
        <f ca="1">IF(B41="","",IF(ISERROR(MATCH($J41,SorP!$B$1:$B$6230,0)),"",INDIRECT("'SorP'!$A$"&amp;MATCH($J41,SorP!$B$1:$B$6230,0))))</f>
        <v>TW-TAO</v>
      </c>
      <c r="U41" s="241"/>
      <c r="V41" s="275">
        <f ca="1">IF(C41="",NA(),MATCH($B41&amp;$C41,'Smelter Look-up'!$J:$J,0))</f>
        <v>450</v>
      </c>
      <c r="W41" s="276"/>
      <c r="X41" s="276">
        <f t="shared" ca="1" si="7"/>
        <v>0</v>
      </c>
      <c r="Y41" s="276"/>
      <c r="Z41" s="276"/>
      <c r="AB41" s="278" t="str">
        <f t="shared" ca="1" si="8"/>
        <v>TinRui Da Hung</v>
      </c>
    </row>
    <row r="42" spans="1:28" s="277" customFormat="1" ht="20.25">
      <c r="A42" s="450" t="s">
        <v>805</v>
      </c>
      <c r="B42" s="217" t="str">
        <f ca="1">IF(LEN(A42)=0,"",INDEX('Smelter Look-up'!$A:$A,MATCH($A42,'Smelter Look-up'!$E:$E,0)))</f>
        <v>Tin</v>
      </c>
      <c r="C42" s="221" t="str">
        <f ca="1">IF(LEN(A42)=0,"",INDEX('Smelter Look-up'!$C:$C,MATCH($A42,'Smelter Look-up'!$E:$E,0)))</f>
        <v>Soft Metais Ltda.</v>
      </c>
      <c r="D42" s="283"/>
      <c r="E42" s="217" t="str">
        <f ca="1">IF(ISERROR($V42),"",OFFSET('Smelter Look-up'!$D$4,$V42-4,0)&amp;"")</f>
        <v>BRAZIL</v>
      </c>
      <c r="F42" s="217" t="str">
        <f ca="1">IF(ISERROR($V42),"",OFFSET('Smelter Look-up'!$E$4,$V42-4,0))</f>
        <v>CID001758</v>
      </c>
      <c r="G42" s="217" t="str">
        <f ca="1">IF(C42=$X$4,"Enter smelter details",IF(ISERROR($V42),"",OFFSET('Smelter Look-up'!$F$4,$V42-4,0)))</f>
        <v>RMI</v>
      </c>
      <c r="H42" s="218">
        <f ca="1">IF(ISERROR($V42),"",OFFSET('Smelter Look-up'!$G$4,$V42-4,0))</f>
        <v>0</v>
      </c>
      <c r="I42" s="219" t="str">
        <f ca="1">IF(ISERROR($V42),"",OFFSET('Smelter Look-up'!$H$4,$V42-4,0))</f>
        <v>Bebedouro</v>
      </c>
      <c r="J42" s="219" t="str">
        <f ca="1">IF(ISERROR($V42),"",OFFSET('Smelter Look-up'!$I$4,$V42-4,0))</f>
        <v>São Paulo</v>
      </c>
      <c r="K42" s="273"/>
      <c r="L42" s="273"/>
      <c r="M42" s="273"/>
      <c r="N42" s="273"/>
      <c r="O42" s="273"/>
      <c r="P42" s="220"/>
      <c r="Q42" s="274"/>
      <c r="R42" s="217" t="str">
        <f ca="1">IF(ISERROR($V42),"",OFFSET('Smelter Look-up'!$C$4,$V42-4,0)&amp;"")</f>
        <v>Soft Metais Ltda.</v>
      </c>
      <c r="S42" s="225" t="str">
        <f t="shared" ca="1" si="6"/>
        <v>BR</v>
      </c>
      <c r="T42" s="225" t="str">
        <f ca="1">IF(B42="","",IF(ISERROR(MATCH($J42,SorP!$B$1:$B$6230,0)),"",INDIRECT("'SorP'!$A$"&amp;MATCH($J42,SorP!$B$1:$B$6230,0))))</f>
        <v>BR-SP</v>
      </c>
      <c r="U42" s="241"/>
      <c r="V42" s="275">
        <f ca="1">IF(C42="",NA(),MATCH($B42&amp;$C42,'Smelter Look-up'!$J:$J,0))</f>
        <v>453</v>
      </c>
      <c r="W42" s="276"/>
      <c r="X42" s="276">
        <f t="shared" ca="1" si="7"/>
        <v>0</v>
      </c>
      <c r="Y42" s="276"/>
      <c r="Z42" s="276"/>
      <c r="AB42" s="278" t="str">
        <f t="shared" ca="1" si="8"/>
        <v>TinSoft Metais Ltda.</v>
      </c>
    </row>
    <row r="43" spans="1:28" s="277" customFormat="1" ht="20.25">
      <c r="A43" s="450" t="s">
        <v>14160</v>
      </c>
      <c r="B43" s="217" t="str">
        <f ca="1">IF(LEN(A43)=0,"",INDEX('Smelter Look-up'!$A:$A,MATCH($A43,'Smelter Look-up'!$E:$E,0)))</f>
        <v>Tin</v>
      </c>
      <c r="C43" s="221" t="str">
        <f ca="1">IF(LEN(A43)=0,"",INDEX('Smelter Look-up'!$C:$C,MATCH($A43,'Smelter Look-up'!$E:$E,0)))</f>
        <v>Thai Nguyen Mining and Metallurgy Co., Ltd.</v>
      </c>
      <c r="D43" s="283"/>
      <c r="E43" s="217" t="str">
        <f ca="1">IF(ISERROR($V43),"",OFFSET('Smelter Look-up'!$D$4,$V43-4,0)&amp;"")</f>
        <v>VIET NAM</v>
      </c>
      <c r="F43" s="217" t="str">
        <f ca="1">IF(ISERROR($V43),"",OFFSET('Smelter Look-up'!$E$4,$V43-4,0))</f>
        <v>CID002834</v>
      </c>
      <c r="G43" s="217" t="str">
        <f ca="1">IF(C43=$X$4,"Enter smelter details",IF(ISERROR($V43),"",OFFSET('Smelter Look-up'!$F$4,$V43-4,0)))</f>
        <v>RMI</v>
      </c>
      <c r="H43" s="218">
        <f ca="1">IF(ISERROR($V43),"",OFFSET('Smelter Look-up'!$G$4,$V43-4,0))</f>
        <v>0</v>
      </c>
      <c r="I43" s="219" t="str">
        <f ca="1">IF(ISERROR($V43),"",OFFSET('Smelter Look-up'!$H$4,$V43-4,0))</f>
        <v>Thai Nguyen</v>
      </c>
      <c r="J43" s="219" t="str">
        <f ca="1">IF(ISERROR($V43),"",OFFSET('Smelter Look-up'!$I$4,$V43-4,0))</f>
        <v>Thái Nguyên</v>
      </c>
      <c r="K43" s="273"/>
      <c r="L43" s="273"/>
      <c r="M43" s="273"/>
      <c r="N43" s="273"/>
      <c r="O43" s="273"/>
      <c r="P43" s="220"/>
      <c r="Q43" s="274"/>
      <c r="R43" s="217" t="str">
        <f ca="1">IF(ISERROR($V43),"",OFFSET('Smelter Look-up'!$C$4,$V43-4,0)&amp;"")</f>
        <v>Thai Nguyen Mining and Metallurgy Co., Ltd.</v>
      </c>
      <c r="S43" s="225" t="str">
        <f t="shared" ca="1" si="6"/>
        <v>VN</v>
      </c>
      <c r="T43" s="225" t="str">
        <f ca="1">IF(B43="","",IF(ISERROR(MATCH($J43,SorP!$B$1:$B$6230,0)),"",INDIRECT("'SorP'!$A$"&amp;MATCH($J43,SorP!$B$1:$B$6230,0))))</f>
        <v>VN-69</v>
      </c>
      <c r="U43" s="241"/>
      <c r="V43" s="275">
        <f ca="1">IF(C43="",NA(),MATCH($B43&amp;$C43,'Smelter Look-up'!$J:$J,0))</f>
        <v>455</v>
      </c>
      <c r="W43" s="276"/>
      <c r="X43" s="276">
        <f t="shared" ca="1" si="7"/>
        <v>0</v>
      </c>
      <c r="Y43" s="276"/>
      <c r="Z43" s="276"/>
      <c r="AB43" s="278" t="str">
        <f t="shared" ca="1" si="8"/>
        <v>TinThai Nguyen Mining and Metallurgy Co., Ltd.</v>
      </c>
    </row>
    <row r="44" spans="1:28" s="277" customFormat="1" ht="20.25">
      <c r="A44" s="450" t="s">
        <v>806</v>
      </c>
      <c r="B44" s="217" t="str">
        <f ca="1">IF(LEN(A44)=0,"",INDEX('Smelter Look-up'!$A:$A,MATCH($A44,'Smelter Look-up'!$E:$E,0)))</f>
        <v>Tin</v>
      </c>
      <c r="C44" s="221" t="str">
        <f ca="1">IF(LEN(A44)=0,"",INDEX('Smelter Look-up'!$C:$C,MATCH($A44,'Smelter Look-up'!$E:$E,0)))</f>
        <v>Thaisarco</v>
      </c>
      <c r="D44" s="283"/>
      <c r="E44" s="217" t="str">
        <f ca="1">IF(ISERROR($V44),"",OFFSET('Smelter Look-up'!$D$4,$V44-4,0)&amp;"")</f>
        <v>THAILAND</v>
      </c>
      <c r="F44" s="217" t="str">
        <f ca="1">IF(ISERROR($V44),"",OFFSET('Smelter Look-up'!$E$4,$V44-4,0))</f>
        <v>CID001898</v>
      </c>
      <c r="G44" s="217" t="str">
        <f ca="1">IF(C44=$X$4,"Enter smelter details",IF(ISERROR($V44),"",OFFSET('Smelter Look-up'!$F$4,$V44-4,0)))</f>
        <v>RMI</v>
      </c>
      <c r="H44" s="218">
        <f ca="1">IF(ISERROR($V44),"",OFFSET('Smelter Look-up'!$G$4,$V44-4,0))</f>
        <v>0</v>
      </c>
      <c r="I44" s="219" t="str">
        <f ca="1">IF(ISERROR($V44),"",OFFSET('Smelter Look-up'!$H$4,$V44-4,0))</f>
        <v>Amphur Muang</v>
      </c>
      <c r="J44" s="219" t="str">
        <f ca="1">IF(ISERROR($V44),"",OFFSET('Smelter Look-up'!$I$4,$V44-4,0))</f>
        <v>Phuket</v>
      </c>
      <c r="K44" s="273"/>
      <c r="L44" s="273"/>
      <c r="M44" s="273"/>
      <c r="N44" s="273"/>
      <c r="O44" s="273"/>
      <c r="P44" s="220"/>
      <c r="Q44" s="274"/>
      <c r="R44" s="217" t="str">
        <f ca="1">IF(ISERROR($V44),"",OFFSET('Smelter Look-up'!$C$4,$V44-4,0)&amp;"")</f>
        <v>Thaisarco</v>
      </c>
      <c r="S44" s="225" t="str">
        <f t="shared" ca="1" si="6"/>
        <v>TH</v>
      </c>
      <c r="T44" s="225" t="str">
        <f ca="1">IF(B44="","",IF(ISERROR(MATCH($J44,SorP!$B$1:$B$6230,0)),"",INDIRECT("'SorP'!$A$"&amp;MATCH($J44,SorP!$B$1:$B$6230,0))))</f>
        <v>TH-83</v>
      </c>
      <c r="U44" s="241"/>
      <c r="V44" s="275">
        <f ca="1">IF(C44="",NA(),MATCH($B44&amp;$C44,'Smelter Look-up'!$J:$J,0))</f>
        <v>458</v>
      </c>
      <c r="W44" s="276"/>
      <c r="X44" s="276">
        <f t="shared" ca="1" si="7"/>
        <v>0</v>
      </c>
      <c r="Y44" s="276"/>
      <c r="Z44" s="276"/>
      <c r="AB44" s="278" t="str">
        <f t="shared" ca="1" si="8"/>
        <v>TinThaisarco</v>
      </c>
    </row>
    <row r="45" spans="1:28" s="277" customFormat="1" ht="20.25">
      <c r="A45" s="450" t="s">
        <v>13521</v>
      </c>
      <c r="B45" s="217" t="str">
        <f ca="1">IF(LEN(A45)=0,"",INDEX('Smelter Look-up'!$A:$A,MATCH($A45,'Smelter Look-up'!$E:$E,0)))</f>
        <v>Tin</v>
      </c>
      <c r="C45" s="221" t="str">
        <f ca="1">IF(LEN(A45)=0,"",INDEX('Smelter Look-up'!$C:$C,MATCH($A45,'Smelter Look-up'!$E:$E,0)))</f>
        <v>Tin Technology &amp; Refining</v>
      </c>
      <c r="D45" s="283"/>
      <c r="E45" s="217" t="str">
        <f ca="1">IF(ISERROR($V45),"",OFFSET('Smelter Look-up'!$D$4,$V45-4,0)&amp;"")</f>
        <v>UNITED STATES OF AMERICA</v>
      </c>
      <c r="F45" s="217" t="str">
        <f ca="1">IF(ISERROR($V45),"",OFFSET('Smelter Look-up'!$E$4,$V45-4,0))</f>
        <v>CID003325</v>
      </c>
      <c r="G45" s="217" t="str">
        <f ca="1">IF(C45=$X$4,"Enter smelter details",IF(ISERROR($V45),"",OFFSET('Smelter Look-up'!$F$4,$V45-4,0)))</f>
        <v>RMI</v>
      </c>
      <c r="H45" s="218">
        <f ca="1">IF(ISERROR($V45),"",OFFSET('Smelter Look-up'!$G$4,$V45-4,0))</f>
        <v>0</v>
      </c>
      <c r="I45" s="219" t="str">
        <f ca="1">IF(ISERROR($V45),"",OFFSET('Smelter Look-up'!$H$4,$V45-4,0))</f>
        <v>West Chester</v>
      </c>
      <c r="J45" s="219" t="str">
        <f ca="1">IF(ISERROR($V45),"",OFFSET('Smelter Look-up'!$I$4,$V45-4,0))</f>
        <v>Pennsylvania</v>
      </c>
      <c r="K45" s="273"/>
      <c r="L45" s="273"/>
      <c r="M45" s="273"/>
      <c r="N45" s="273"/>
      <c r="O45" s="273"/>
      <c r="P45" s="220"/>
      <c r="Q45" s="274"/>
      <c r="R45" s="217" t="str">
        <f ca="1">IF(ISERROR($V45),"",OFFSET('Smelter Look-up'!$C$4,$V45-4,0)&amp;"")</f>
        <v>Tin Technology &amp; Refining</v>
      </c>
      <c r="S45" s="225" t="str">
        <f t="shared" ca="1" si="6"/>
        <v>US</v>
      </c>
      <c r="T45" s="225" t="str">
        <f ca="1">IF(B45="","",IF(ISERROR(MATCH($J45,SorP!$B$1:$B$6230,0)),"",INDIRECT("'SorP'!$A$"&amp;MATCH($J45,SorP!$B$1:$B$6230,0))))</f>
        <v>US-PA</v>
      </c>
      <c r="U45" s="241"/>
      <c r="V45" s="275">
        <f ca="1">IF(C45="",NA(),MATCH($B45&amp;$C45,'Smelter Look-up'!$J:$J,0))</f>
        <v>461</v>
      </c>
      <c r="W45" s="276"/>
      <c r="X45" s="276">
        <f t="shared" ca="1" si="7"/>
        <v>0</v>
      </c>
      <c r="Y45" s="276"/>
      <c r="Z45" s="276"/>
      <c r="AB45" s="278" t="str">
        <f t="shared" ca="1" si="8"/>
        <v>TinTin Technology &amp; Refining</v>
      </c>
    </row>
    <row r="46" spans="1:28" s="277" customFormat="1" ht="20.25">
      <c r="A46" s="450" t="s">
        <v>807</v>
      </c>
      <c r="B46" s="217" t="str">
        <f ca="1">IF(LEN(A46)=0,"",INDEX('Smelter Look-up'!$A:$A,MATCH($A46,'Smelter Look-up'!$E:$E,0)))</f>
        <v>Tin</v>
      </c>
      <c r="C46" s="221" t="str">
        <f ca="1">IF(LEN(A46)=0,"",INDEX('Smelter Look-up'!$C:$C,MATCH($A46,'Smelter Look-up'!$E:$E,0)))</f>
        <v>White Solder Metalurgia e Mineracao Ltda.</v>
      </c>
      <c r="D46" s="283"/>
      <c r="E46" s="217" t="str">
        <f ca="1">IF(ISERROR($V46),"",OFFSET('Smelter Look-up'!$D$4,$V46-4,0)&amp;"")</f>
        <v>BRAZIL</v>
      </c>
      <c r="F46" s="217" t="str">
        <f ca="1">IF(ISERROR($V46),"",OFFSET('Smelter Look-up'!$E$4,$V46-4,0))</f>
        <v>CID002036</v>
      </c>
      <c r="G46" s="217" t="str">
        <f ca="1">IF(C46=$X$4,"Enter smelter details",IF(ISERROR($V46),"",OFFSET('Smelter Look-up'!$F$4,$V46-4,0)))</f>
        <v>RMI</v>
      </c>
      <c r="H46" s="218">
        <f ca="1">IF(ISERROR($V46),"",OFFSET('Smelter Look-up'!$G$4,$V46-4,0))</f>
        <v>0</v>
      </c>
      <c r="I46" s="219" t="str">
        <f ca="1">IF(ISERROR($V46),"",OFFSET('Smelter Look-up'!$H$4,$V46-4,0))</f>
        <v>Ariquemes</v>
      </c>
      <c r="J46" s="219" t="str">
        <f ca="1">IF(ISERROR($V46),"",OFFSET('Smelter Look-up'!$I$4,$V46-4,0))</f>
        <v>Rondônia</v>
      </c>
      <c r="K46" s="273"/>
      <c r="L46" s="273"/>
      <c r="M46" s="273"/>
      <c r="N46" s="273"/>
      <c r="O46" s="273"/>
      <c r="P46" s="220"/>
      <c r="Q46" s="274"/>
      <c r="R46" s="217" t="str">
        <f ca="1">IF(ISERROR($V46),"",OFFSET('Smelter Look-up'!$C$4,$V46-4,0)&amp;"")</f>
        <v>White Solder Metalurgia e Mineracao Ltda.</v>
      </c>
      <c r="S46" s="225" t="str">
        <f t="shared" ca="1" si="6"/>
        <v>BR</v>
      </c>
      <c r="T46" s="225" t="str">
        <f ca="1">IF(B46="","",IF(ISERROR(MATCH($J46,SorP!$B$1:$B$6230,0)),"",INDIRECT("'SorP'!$A$"&amp;MATCH($J46,SorP!$B$1:$B$6230,0))))</f>
        <v>BR-RO</v>
      </c>
      <c r="U46" s="241"/>
      <c r="V46" s="275">
        <f ca="1">IF(C46="",NA(),MATCH($B46&amp;$C46,'Smelter Look-up'!$J:$J,0))</f>
        <v>465</v>
      </c>
      <c r="W46" s="276"/>
      <c r="X46" s="276">
        <f t="shared" ca="1" si="7"/>
        <v>0</v>
      </c>
      <c r="Y46" s="276"/>
      <c r="Z46" s="276"/>
      <c r="AB46" s="278" t="str">
        <f t="shared" ca="1" si="8"/>
        <v>TinWhite Solder Metalurgia e Mineracao Ltda.</v>
      </c>
    </row>
    <row r="47" spans="1:28" s="277" customFormat="1" ht="20.25">
      <c r="A47" s="450" t="s">
        <v>808</v>
      </c>
      <c r="B47" s="217" t="str">
        <f ca="1">IF(LEN(A47)=0,"",INDEX('Smelter Look-up'!$A:$A,MATCH($A47,'Smelter Look-up'!$E:$E,0)))</f>
        <v>Tin</v>
      </c>
      <c r="C47" s="221" t="str">
        <f ca="1">IF(LEN(A47)=0,"",INDEX('Smelter Look-up'!$C:$C,MATCH($A47,'Smelter Look-up'!$E:$E,0)))</f>
        <v>Yunnan Chengfeng Non-ferrous Metals Co., Ltd.</v>
      </c>
      <c r="D47" s="283"/>
      <c r="E47" s="217" t="str">
        <f ca="1">IF(ISERROR($V47),"",OFFSET('Smelter Look-up'!$D$4,$V47-4,0)&amp;"")</f>
        <v>CHINA</v>
      </c>
      <c r="F47" s="217" t="str">
        <f ca="1">IF(ISERROR($V47),"",OFFSET('Smelter Look-up'!$E$4,$V47-4,0))</f>
        <v>CID002158</v>
      </c>
      <c r="G47" s="217" t="str">
        <f ca="1">IF(C47=$X$4,"Enter smelter details",IF(ISERROR($V47),"",OFFSET('Smelter Look-up'!$F$4,$V47-4,0)))</f>
        <v>RMI</v>
      </c>
      <c r="H47" s="218">
        <f ca="1">IF(ISERROR($V47),"",OFFSET('Smelter Look-up'!$G$4,$V47-4,0))</f>
        <v>0</v>
      </c>
      <c r="I47" s="219" t="str">
        <f ca="1">IF(ISERROR($V47),"",OFFSET('Smelter Look-up'!$H$4,$V47-4,0))</f>
        <v>Gejiu</v>
      </c>
      <c r="J47" s="219" t="str">
        <f ca="1">IF(ISERROR($V47),"",OFFSET('Smelter Look-up'!$I$4,$V47-4,0))</f>
        <v>Yunnan Sheng</v>
      </c>
      <c r="K47" s="273"/>
      <c r="L47" s="273"/>
      <c r="M47" s="273"/>
      <c r="N47" s="273"/>
      <c r="O47" s="273"/>
      <c r="P47" s="220"/>
      <c r="Q47" s="274"/>
      <c r="R47" s="217" t="str">
        <f ca="1">IF(ISERROR($V47),"",OFFSET('Smelter Look-up'!$C$4,$V47-4,0)&amp;"")</f>
        <v>Yunnan Chengfeng Non-ferrous Metals Co., Ltd.</v>
      </c>
      <c r="S47" s="225" t="str">
        <f t="shared" ca="1" si="6"/>
        <v>CN</v>
      </c>
      <c r="T47" s="225" t="str">
        <f ca="1">IF(B47="","",IF(ISERROR(MATCH($J47,SorP!$B$1:$B$6230,0)),"",INDIRECT("'SorP'!$A$"&amp;MATCH($J47,SorP!$B$1:$B$6230,0))))</f>
        <v>CN-YN</v>
      </c>
      <c r="U47" s="241"/>
      <c r="V47" s="275">
        <f ca="1">IF(C47="",NA(),MATCH($B47&amp;$C47,'Smelter Look-up'!$J:$J,0))</f>
        <v>473</v>
      </c>
      <c r="W47" s="276"/>
      <c r="X47" s="276">
        <f t="shared" ca="1" si="7"/>
        <v>0</v>
      </c>
      <c r="Y47" s="276"/>
      <c r="Z47" s="276"/>
      <c r="AB47" s="278" t="str">
        <f t="shared" ca="1" si="8"/>
        <v>TinYunnan Chengfeng Non-ferrous Metals Co., Ltd.</v>
      </c>
    </row>
    <row r="48" spans="1:28" s="277" customFormat="1" ht="20.25">
      <c r="A48" s="450" t="s">
        <v>809</v>
      </c>
      <c r="B48" s="217" t="str">
        <f ca="1">IF(LEN(A48)=0,"",INDEX('Smelter Look-up'!$A:$A,MATCH($A48,'Smelter Look-up'!$E:$E,0)))</f>
        <v>Tin</v>
      </c>
      <c r="C48" s="221" t="str">
        <f ca="1">IF(LEN(A48)=0,"",INDEX('Smelter Look-up'!$C:$C,MATCH($A48,'Smelter Look-up'!$E:$E,0)))</f>
        <v>Yunnan Tin Company Limited</v>
      </c>
      <c r="D48" s="283"/>
      <c r="E48" s="217" t="str">
        <f ca="1">IF(ISERROR($V48),"",OFFSET('Smelter Look-up'!$D$4,$V48-4,0)&amp;"")</f>
        <v>CHINA</v>
      </c>
      <c r="F48" s="217" t="str">
        <f ca="1">IF(ISERROR($V48),"",OFFSET('Smelter Look-up'!$E$4,$V48-4,0))</f>
        <v>CID002180</v>
      </c>
      <c r="G48" s="217" t="str">
        <f ca="1">IF(C48=$X$4,"Enter smelter details",IF(ISERROR($V48),"",OFFSET('Smelter Look-up'!$F$4,$V48-4,0)))</f>
        <v>RMI</v>
      </c>
      <c r="H48" s="218">
        <f ca="1">IF(ISERROR($V48),"",OFFSET('Smelter Look-up'!$G$4,$V48-4,0))</f>
        <v>0</v>
      </c>
      <c r="I48" s="219" t="str">
        <f ca="1">IF(ISERROR($V48),"",OFFSET('Smelter Look-up'!$H$4,$V48-4,0))</f>
        <v>Gejiu</v>
      </c>
      <c r="J48" s="219" t="str">
        <f ca="1">IF(ISERROR($V48),"",OFFSET('Smelter Look-up'!$I$4,$V48-4,0))</f>
        <v>Yunnan Sheng</v>
      </c>
      <c r="K48" s="273"/>
      <c r="L48" s="273"/>
      <c r="M48" s="273"/>
      <c r="N48" s="273"/>
      <c r="O48" s="273"/>
      <c r="P48" s="220"/>
      <c r="Q48" s="274"/>
      <c r="R48" s="217" t="str">
        <f ca="1">IF(ISERROR($V48),"",OFFSET('Smelter Look-up'!$C$4,$V48-4,0)&amp;"")</f>
        <v>Yunnan Tin Company Limited</v>
      </c>
      <c r="S48" s="225" t="str">
        <f t="shared" ca="1" si="6"/>
        <v>CN</v>
      </c>
      <c r="T48" s="225" t="str">
        <f ca="1">IF(B48="","",IF(ISERROR(MATCH($J48,SorP!$B$1:$B$6230,0)),"",INDIRECT("'SorP'!$A$"&amp;MATCH($J48,SorP!$B$1:$B$6230,0))))</f>
        <v>CN-YN</v>
      </c>
      <c r="U48" s="241"/>
      <c r="V48" s="275">
        <f ca="1">IF(C48="",NA(),MATCH($B48&amp;$C48,'Smelter Look-up'!$J:$J,0))</f>
        <v>477</v>
      </c>
      <c r="W48" s="276"/>
      <c r="X48" s="276">
        <f t="shared" ca="1" si="7"/>
        <v>0</v>
      </c>
      <c r="Y48" s="276"/>
      <c r="Z48" s="276"/>
      <c r="AB48" s="278" t="str">
        <f t="shared" ca="1" si="8"/>
        <v>TinYunnan Tin Company Limited</v>
      </c>
    </row>
    <row r="49" spans="1:28" s="277" customFormat="1" ht="20.25">
      <c r="A49" s="450" t="s">
        <v>14162</v>
      </c>
      <c r="B49" s="217" t="str">
        <f ca="1">IF(LEN(A49)=0,"",INDEX('Smelter Look-up'!$A:$A,MATCH($A49,'Smelter Look-up'!$E:$E,0)))</f>
        <v>Tin</v>
      </c>
      <c r="C49" s="221" t="str">
        <f ca="1">IF(LEN(A49)=0,"",INDEX('Smelter Look-up'!$C:$C,MATCH($A49,'Smelter Look-up'!$E:$E,0)))</f>
        <v>Yunnan Yunfan Non-ferrous Metals Co., Ltd.</v>
      </c>
      <c r="D49" s="283"/>
      <c r="E49" s="217" t="str">
        <f ca="1">IF(ISERROR($V49),"",OFFSET('Smelter Look-up'!$D$4,$V49-4,0)&amp;"")</f>
        <v>CHINA</v>
      </c>
      <c r="F49" s="217" t="str">
        <f ca="1">IF(ISERROR($V49),"",OFFSET('Smelter Look-up'!$E$4,$V49-4,0))</f>
        <v>CID003397</v>
      </c>
      <c r="G49" s="217" t="str">
        <f ca="1">IF(C49=$X$4,"Enter smelter details",IF(ISERROR($V49),"",OFFSET('Smelter Look-up'!$F$4,$V49-4,0)))</f>
        <v>RMI</v>
      </c>
      <c r="H49" s="218">
        <f ca="1">IF(ISERROR($V49),"",OFFSET('Smelter Look-up'!$G$4,$V49-4,0))</f>
        <v>0</v>
      </c>
      <c r="I49" s="219" t="str">
        <f ca="1">IF(ISERROR($V49),"",OFFSET('Smelter Look-up'!$H$4,$V49-4,0))</f>
        <v>Gejiu</v>
      </c>
      <c r="J49" s="219" t="str">
        <f ca="1">IF(ISERROR($V49),"",OFFSET('Smelter Look-up'!$I$4,$V49-4,0))</f>
        <v>Yunnan Sheng</v>
      </c>
      <c r="K49" s="273"/>
      <c r="L49" s="273"/>
      <c r="M49" s="273"/>
      <c r="N49" s="273"/>
      <c r="O49" s="273"/>
      <c r="P49" s="220"/>
      <c r="Q49" s="274"/>
      <c r="R49" s="217" t="str">
        <f ca="1">IF(ISERROR($V49),"",OFFSET('Smelter Look-up'!$C$4,$V49-4,0)&amp;"")</f>
        <v>Yunnan Yunfan Non-ferrous Metals Co., Ltd.</v>
      </c>
      <c r="S49" s="225" t="str">
        <f t="shared" ca="1" si="6"/>
        <v>CN</v>
      </c>
      <c r="T49" s="225" t="str">
        <f ca="1">IF(B49="","",IF(ISERROR(MATCH($J49,SorP!$B$1:$B$6230,0)),"",INDIRECT("'SorP'!$A$"&amp;MATCH($J49,SorP!$B$1:$B$6230,0))))</f>
        <v>CN-YN</v>
      </c>
      <c r="U49" s="241"/>
      <c r="V49" s="275">
        <f ca="1">IF(C49="",NA(),MATCH($B49&amp;$C49,'Smelter Look-up'!$J:$J,0))</f>
        <v>481</v>
      </c>
      <c r="W49" s="276"/>
      <c r="X49" s="276">
        <f t="shared" ca="1" si="7"/>
        <v>0</v>
      </c>
      <c r="Y49" s="276"/>
      <c r="Z49" s="276"/>
      <c r="AB49" s="278" t="str">
        <f t="shared" ca="1" si="8"/>
        <v>TinYunnan Yunfan Non-ferrous Metals Co., Ltd.</v>
      </c>
    </row>
    <row r="50" spans="1:28" s="277" customFormat="1" ht="20.25">
      <c r="A50" s="450" t="s">
        <v>14130</v>
      </c>
      <c r="B50" s="217" t="str">
        <f ca="1">IF(LEN(A50)=0,"",INDEX('Smelter Look-up'!$A:$A,MATCH($A50,'Smelter Look-up'!$E:$E,0)))</f>
        <v>Gold</v>
      </c>
      <c r="C50" s="221" t="str">
        <f ca="1">IF(LEN(A50)=0,"",INDEX('Smelter Look-up'!$C:$C,MATCH($A50,'Smelter Look-up'!$E:$E,0)))</f>
        <v>8853 S.p.A.</v>
      </c>
      <c r="D50" s="283"/>
      <c r="E50" s="217" t="str">
        <f ca="1">IF(ISERROR($V50),"",OFFSET('Smelter Look-up'!$D$4,$V50-4,0)&amp;"")</f>
        <v>ITALY</v>
      </c>
      <c r="F50" s="217" t="str">
        <f ca="1">IF(ISERROR($V50),"",OFFSET('Smelter Look-up'!$E$4,$V50-4,0))</f>
        <v>CID002763</v>
      </c>
      <c r="G50" s="217" t="str">
        <f ca="1">IF(C50=$X$4,"Enter smelter details",IF(ISERROR($V50),"",OFFSET('Smelter Look-up'!$F$4,$V50-4,0)))</f>
        <v>RMI</v>
      </c>
      <c r="H50" s="218">
        <f ca="1">IF(ISERROR($V50),"",OFFSET('Smelter Look-up'!$G$4,$V50-4,0))</f>
        <v>0</v>
      </c>
      <c r="I50" s="219" t="str">
        <f ca="1">IF(ISERROR($V50),"",OFFSET('Smelter Look-up'!$H$4,$V50-4,0))</f>
        <v>Pero</v>
      </c>
      <c r="J50" s="219" t="str">
        <f ca="1">IF(ISERROR($V50),"",OFFSET('Smelter Look-up'!$I$4,$V50-4,0))</f>
        <v>Lombardia</v>
      </c>
      <c r="K50" s="273"/>
      <c r="L50" s="273"/>
      <c r="M50" s="273"/>
      <c r="N50" s="273"/>
      <c r="O50" s="273"/>
      <c r="P50" s="220"/>
      <c r="Q50" s="274"/>
      <c r="R50" s="217" t="str">
        <f ca="1">IF(ISERROR($V50),"",OFFSET('Smelter Look-up'!$C$4,$V50-4,0)&amp;"")</f>
        <v>8853 S.p.A.</v>
      </c>
      <c r="S50" s="225" t="str">
        <f t="shared" ca="1" si="6"/>
        <v>IT</v>
      </c>
      <c r="T50" s="225" t="str">
        <f ca="1">IF(B50="","",IF(ISERROR(MATCH($J50,SorP!$B$1:$B$6230,0)),"",INDIRECT("'SorP'!$A$"&amp;MATCH($J50,SorP!$B$1:$B$6230,0))))</f>
        <v>IT-25</v>
      </c>
      <c r="U50" s="241"/>
      <c r="V50" s="275">
        <f ca="1">IF(C50="",NA(),MATCH($B50&amp;$C50,'Smelter Look-up'!$J:$J,0))</f>
        <v>5</v>
      </c>
      <c r="W50" s="276"/>
      <c r="X50" s="276">
        <f t="shared" ca="1" si="7"/>
        <v>0</v>
      </c>
      <c r="Y50" s="276"/>
      <c r="Z50" s="276"/>
      <c r="AB50" s="278" t="str">
        <f t="shared" ca="1" si="8"/>
        <v>Gold8853 S.p.A.</v>
      </c>
    </row>
    <row r="51" spans="1:28" s="277" customFormat="1" ht="20.25">
      <c r="A51" s="450" t="s">
        <v>1408</v>
      </c>
      <c r="B51" s="217" t="str">
        <f ca="1">IF(LEN(A51)=0,"",INDEX('Smelter Look-up'!$A:$A,MATCH($A51,'Smelter Look-up'!$E:$E,0)))</f>
        <v>Gold</v>
      </c>
      <c r="C51" s="221" t="str">
        <f ca="1">IF(LEN(A51)=0,"",INDEX('Smelter Look-up'!$C:$C,MATCH($A51,'Smelter Look-up'!$E:$E,0)))</f>
        <v>Advanced Chemical Company</v>
      </c>
      <c r="D51" s="283"/>
      <c r="E51" s="217" t="str">
        <f ca="1">IF(ISERROR($V51),"",OFFSET('Smelter Look-up'!$D$4,$V51-4,0)&amp;"")</f>
        <v>UNITED STATES OF AMERICA</v>
      </c>
      <c r="F51" s="217" t="str">
        <f ca="1">IF(ISERROR($V51),"",OFFSET('Smelter Look-up'!$E$4,$V51-4,0))</f>
        <v>CID000015</v>
      </c>
      <c r="G51" s="217" t="str">
        <f ca="1">IF(C51=$X$4,"Enter smelter details",IF(ISERROR($V51),"",OFFSET('Smelter Look-up'!$F$4,$V51-4,0)))</f>
        <v>RMI</v>
      </c>
      <c r="H51" s="218">
        <f ca="1">IF(ISERROR($V51),"",OFFSET('Smelter Look-up'!$G$4,$V51-4,0))</f>
        <v>0</v>
      </c>
      <c r="I51" s="219" t="str">
        <f ca="1">IF(ISERROR($V51),"",OFFSET('Smelter Look-up'!$H$4,$V51-4,0))</f>
        <v>Warwick</v>
      </c>
      <c r="J51" s="219" t="str">
        <f ca="1">IF(ISERROR($V51),"",OFFSET('Smelter Look-up'!$I$4,$V51-4,0))</f>
        <v>Rhode Island</v>
      </c>
      <c r="K51" s="273"/>
      <c r="L51" s="273"/>
      <c r="M51" s="273"/>
      <c r="N51" s="273"/>
      <c r="O51" s="273"/>
      <c r="P51" s="220"/>
      <c r="Q51" s="274"/>
      <c r="R51" s="217" t="str">
        <f ca="1">IF(ISERROR($V51),"",OFFSET('Smelter Look-up'!$C$4,$V51-4,0)&amp;"")</f>
        <v>Advanced Chemical Company</v>
      </c>
      <c r="S51" s="225" t="str">
        <f t="shared" ca="1" si="6"/>
        <v>US</v>
      </c>
      <c r="T51" s="225" t="str">
        <f ca="1">IF(B51="","",IF(ISERROR(MATCH($J51,SorP!$B$1:$B$6230,0)),"",INDIRECT("'SorP'!$A$"&amp;MATCH($J51,SorP!$B$1:$B$6230,0))))</f>
        <v>US-RI</v>
      </c>
      <c r="U51" s="241"/>
      <c r="V51" s="275">
        <f ca="1">IF(C51="",NA(),MATCH($B51&amp;$C51,'Smelter Look-up'!$J:$J,0))</f>
        <v>7</v>
      </c>
      <c r="W51" s="276"/>
      <c r="X51" s="276">
        <f t="shared" ca="1" si="7"/>
        <v>0</v>
      </c>
      <c r="Y51" s="276"/>
      <c r="Z51" s="276"/>
      <c r="AB51" s="278" t="str">
        <f t="shared" ca="1" si="8"/>
        <v>GoldAdvanced Chemical Company</v>
      </c>
    </row>
    <row r="52" spans="1:28" s="277" customFormat="1" ht="20.25">
      <c r="A52" s="450" t="s">
        <v>666</v>
      </c>
      <c r="B52" s="217" t="str">
        <f ca="1">IF(LEN(A52)=0,"",INDEX('Smelter Look-up'!$A:$A,MATCH($A52,'Smelter Look-up'!$E:$E,0)))</f>
        <v>Gold</v>
      </c>
      <c r="C52" s="221" t="str">
        <f ca="1">IF(LEN(A52)=0,"",INDEX('Smelter Look-up'!$C:$C,MATCH($A52,'Smelter Look-up'!$E:$E,0)))</f>
        <v>Aida Chemical Industries Co., Ltd.</v>
      </c>
      <c r="D52" s="283"/>
      <c r="E52" s="217" t="str">
        <f ca="1">IF(ISERROR($V52),"",OFFSET('Smelter Look-up'!$D$4,$V52-4,0)&amp;"")</f>
        <v>JAPAN</v>
      </c>
      <c r="F52" s="217" t="str">
        <f ca="1">IF(ISERROR($V52),"",OFFSET('Smelter Look-up'!$E$4,$V52-4,0))</f>
        <v>CID000019</v>
      </c>
      <c r="G52" s="217" t="str">
        <f ca="1">IF(C52=$X$4,"Enter smelter details",IF(ISERROR($V52),"",OFFSET('Smelter Look-up'!$F$4,$V52-4,0)))</f>
        <v>RMI</v>
      </c>
      <c r="H52" s="218">
        <f ca="1">IF(ISERROR($V52),"",OFFSET('Smelter Look-up'!$G$4,$V52-4,0))</f>
        <v>0</v>
      </c>
      <c r="I52" s="219" t="str">
        <f ca="1">IF(ISERROR($V52),"",OFFSET('Smelter Look-up'!$H$4,$V52-4,0))</f>
        <v>Fuchu</v>
      </c>
      <c r="J52" s="219" t="str">
        <f ca="1">IF(ISERROR($V52),"",OFFSET('Smelter Look-up'!$I$4,$V52-4,0))</f>
        <v>Tokyo</v>
      </c>
      <c r="K52" s="273"/>
      <c r="L52" s="273"/>
      <c r="M52" s="273"/>
      <c r="N52" s="273"/>
      <c r="O52" s="273"/>
      <c r="P52" s="220"/>
      <c r="Q52" s="274"/>
      <c r="R52" s="217" t="str">
        <f ca="1">IF(ISERROR($V52),"",OFFSET('Smelter Look-up'!$C$4,$V52-4,0)&amp;"")</f>
        <v>Aida Chemical Industries Co., Ltd.</v>
      </c>
      <c r="S52" s="225" t="str">
        <f t="shared" ca="1" si="6"/>
        <v>JP</v>
      </c>
      <c r="T52" s="225" t="str">
        <f ca="1">IF(B52="","",IF(ISERROR(MATCH($J52,SorP!$B$1:$B$6230,0)),"",INDIRECT("'SorP'!$A$"&amp;MATCH($J52,SorP!$B$1:$B$6230,0))))</f>
        <v>JP-13</v>
      </c>
      <c r="U52" s="241"/>
      <c r="V52" s="275">
        <f ca="1">IF(C52="",NA(),MATCH($B52&amp;$C52,'Smelter Look-up'!$J:$J,0))</f>
        <v>11</v>
      </c>
      <c r="W52" s="276"/>
      <c r="X52" s="276">
        <f t="shared" ca="1" si="7"/>
        <v>0</v>
      </c>
      <c r="Y52" s="276"/>
      <c r="Z52" s="276"/>
      <c r="AB52" s="278" t="str">
        <f t="shared" ca="1" si="8"/>
        <v>GoldAida Chemical Industries Co., Ltd.</v>
      </c>
    </row>
    <row r="53" spans="1:28" s="277" customFormat="1" ht="20.25">
      <c r="A53" s="450" t="s">
        <v>667</v>
      </c>
      <c r="B53" s="217" t="str">
        <f ca="1">IF(LEN(A53)=0,"",INDEX('Smelter Look-up'!$A:$A,MATCH($A53,'Smelter Look-up'!$E:$E,0)))</f>
        <v>Gold</v>
      </c>
      <c r="C53" s="221" t="str">
        <f ca="1">IF(LEN(A53)=0,"",INDEX('Smelter Look-up'!$C:$C,MATCH($A53,'Smelter Look-up'!$E:$E,0)))</f>
        <v>Allgemeine Gold-und Silberscheideanstalt A.G.</v>
      </c>
      <c r="D53" s="283"/>
      <c r="E53" s="217" t="str">
        <f ca="1">IF(ISERROR($V53),"",OFFSET('Smelter Look-up'!$D$4,$V53-4,0)&amp;"")</f>
        <v>GERMANY</v>
      </c>
      <c r="F53" s="217" t="str">
        <f ca="1">IF(ISERROR($V53),"",OFFSET('Smelter Look-up'!$E$4,$V53-4,0))</f>
        <v>CID000035</v>
      </c>
      <c r="G53" s="217" t="str">
        <f ca="1">IF(C53=$X$4,"Enter smelter details",IF(ISERROR($V53),"",OFFSET('Smelter Look-up'!$F$4,$V53-4,0)))</f>
        <v>RMI</v>
      </c>
      <c r="H53" s="218">
        <f ca="1">IF(ISERROR($V53),"",OFFSET('Smelter Look-up'!$G$4,$V53-4,0))</f>
        <v>0</v>
      </c>
      <c r="I53" s="219" t="str">
        <f ca="1">IF(ISERROR($V53),"",OFFSET('Smelter Look-up'!$H$4,$V53-4,0))</f>
        <v>Pforzheim</v>
      </c>
      <c r="J53" s="219" t="str">
        <f ca="1">IF(ISERROR($V53),"",OFFSET('Smelter Look-up'!$I$4,$V53-4,0))</f>
        <v>Baden-Württemberg</v>
      </c>
      <c r="K53" s="273"/>
      <c r="L53" s="273"/>
      <c r="M53" s="273"/>
      <c r="N53" s="273"/>
      <c r="O53" s="273"/>
      <c r="P53" s="220"/>
      <c r="Q53" s="274"/>
      <c r="R53" s="217" t="str">
        <f ca="1">IF(ISERROR($V53),"",OFFSET('Smelter Look-up'!$C$4,$V53-4,0)&amp;"")</f>
        <v>Allgemeine Gold-und Silberscheideanstalt A.G.</v>
      </c>
      <c r="S53" s="225" t="str">
        <f t="shared" ca="1" si="6"/>
        <v>DE</v>
      </c>
      <c r="T53" s="225" t="str">
        <f ca="1">IF(B53="","",IF(ISERROR(MATCH($J53,SorP!$B$1:$B$6230,0)),"",INDIRECT("'SorP'!$A$"&amp;MATCH($J53,SorP!$B$1:$B$6230,0))))</f>
        <v>DE-BW</v>
      </c>
      <c r="U53" s="241"/>
      <c r="V53" s="275">
        <f ca="1">IF(C53="",NA(),MATCH($B53&amp;$C53,'Smelter Look-up'!$J:$J,0))</f>
        <v>14</v>
      </c>
      <c r="W53" s="276"/>
      <c r="X53" s="276">
        <f t="shared" ca="1" si="7"/>
        <v>0</v>
      </c>
      <c r="Y53" s="276"/>
      <c r="Z53" s="276"/>
      <c r="AB53" s="278" t="str">
        <f t="shared" ca="1" si="8"/>
        <v>GoldAllgemeine Gold-und Silberscheideanstalt A.G.</v>
      </c>
    </row>
    <row r="54" spans="1:28" s="277" customFormat="1" ht="20.25">
      <c r="A54" s="450" t="s">
        <v>668</v>
      </c>
      <c r="B54" s="217" t="str">
        <f ca="1">IF(LEN(A54)=0,"",INDEX('Smelter Look-up'!$A:$A,MATCH($A54,'Smelter Look-up'!$E:$E,0)))</f>
        <v>Gold</v>
      </c>
      <c r="C54" s="221" t="str">
        <f ca="1">IF(LEN(A54)=0,"",INDEX('Smelter Look-up'!$C:$C,MATCH($A54,'Smelter Look-up'!$E:$E,0)))</f>
        <v>Almalyk Mining and Metallurgical Complex (AMMC)</v>
      </c>
      <c r="D54" s="283"/>
      <c r="E54" s="217" t="str">
        <f ca="1">IF(ISERROR($V54),"",OFFSET('Smelter Look-up'!$D$4,$V54-4,0)&amp;"")</f>
        <v>UZBEKISTAN</v>
      </c>
      <c r="F54" s="217" t="str">
        <f ca="1">IF(ISERROR($V54),"",OFFSET('Smelter Look-up'!$E$4,$V54-4,0))</f>
        <v>CID000041</v>
      </c>
      <c r="G54" s="217" t="str">
        <f ca="1">IF(C54=$X$4,"Enter smelter details",IF(ISERROR($V54),"",OFFSET('Smelter Look-up'!$F$4,$V54-4,0)))</f>
        <v>RMI</v>
      </c>
      <c r="H54" s="218">
        <f ca="1">IF(ISERROR($V54),"",OFFSET('Smelter Look-up'!$G$4,$V54-4,0))</f>
        <v>0</v>
      </c>
      <c r="I54" s="219" t="str">
        <f ca="1">IF(ISERROR($V54),"",OFFSET('Smelter Look-up'!$H$4,$V54-4,0))</f>
        <v>Almalyk</v>
      </c>
      <c r="J54" s="219" t="str">
        <f ca="1">IF(ISERROR($V54),"",OFFSET('Smelter Look-up'!$I$4,$V54-4,0))</f>
        <v>Toshkent</v>
      </c>
      <c r="K54" s="273"/>
      <c r="L54" s="273"/>
      <c r="M54" s="273"/>
      <c r="N54" s="273"/>
      <c r="O54" s="273"/>
      <c r="P54" s="220"/>
      <c r="Q54" s="274"/>
      <c r="R54" s="217" t="str">
        <f ca="1">IF(ISERROR($V54),"",OFFSET('Smelter Look-up'!$C$4,$V54-4,0)&amp;"")</f>
        <v>Almalyk Mining and Metallurgical Complex (AMMC)</v>
      </c>
      <c r="S54" s="225" t="str">
        <f t="shared" ca="1" si="6"/>
        <v>UZ</v>
      </c>
      <c r="T54" s="225" t="str">
        <f ca="1">IF(B54="","",IF(ISERROR(MATCH($J54,SorP!$B$1:$B$6230,0)),"",INDIRECT("'SorP'!$A$"&amp;MATCH($J54,SorP!$B$1:$B$6230,0))))</f>
        <v>UZ-TK</v>
      </c>
      <c r="U54" s="241"/>
      <c r="V54" s="275">
        <f ca="1">IF(C54="",NA(),MATCH($B54&amp;$C54,'Smelter Look-up'!$J:$J,0))</f>
        <v>15</v>
      </c>
      <c r="W54" s="276"/>
      <c r="X54" s="276">
        <f t="shared" ca="1" si="7"/>
        <v>0</v>
      </c>
      <c r="Y54" s="276"/>
      <c r="Z54" s="276"/>
      <c r="AB54" s="278" t="str">
        <f t="shared" ca="1" si="8"/>
        <v>GoldAlmalyk Mining and Metallurgical Complex (AMMC)</v>
      </c>
    </row>
    <row r="55" spans="1:28" s="277" customFormat="1" ht="20.25">
      <c r="A55" s="450" t="s">
        <v>669</v>
      </c>
      <c r="B55" s="217" t="str">
        <f ca="1">IF(LEN(A55)=0,"",INDEX('Smelter Look-up'!$A:$A,MATCH($A55,'Smelter Look-up'!$E:$E,0)))</f>
        <v>Gold</v>
      </c>
      <c r="C55" s="221" t="str">
        <f ca="1">IF(LEN(A55)=0,"",INDEX('Smelter Look-up'!$C:$C,MATCH($A55,'Smelter Look-up'!$E:$E,0)))</f>
        <v>AngloGold Ashanti Corrego do Sitio Mineracao</v>
      </c>
      <c r="D55" s="283"/>
      <c r="E55" s="217" t="str">
        <f ca="1">IF(ISERROR($V55),"",OFFSET('Smelter Look-up'!$D$4,$V55-4,0)&amp;"")</f>
        <v>BRAZIL</v>
      </c>
      <c r="F55" s="217" t="str">
        <f ca="1">IF(ISERROR($V55),"",OFFSET('Smelter Look-up'!$E$4,$V55-4,0))</f>
        <v>CID000058</v>
      </c>
      <c r="G55" s="217" t="str">
        <f ca="1">IF(C55=$X$4,"Enter smelter details",IF(ISERROR($V55),"",OFFSET('Smelter Look-up'!$F$4,$V55-4,0)))</f>
        <v>RMI</v>
      </c>
      <c r="H55" s="218">
        <f ca="1">IF(ISERROR($V55),"",OFFSET('Smelter Look-up'!$G$4,$V55-4,0))</f>
        <v>0</v>
      </c>
      <c r="I55" s="219" t="str">
        <f ca="1">IF(ISERROR($V55),"",OFFSET('Smelter Look-up'!$H$4,$V55-4,0))</f>
        <v>Nova Lima</v>
      </c>
      <c r="J55" s="219" t="str">
        <f ca="1">IF(ISERROR($V55),"",OFFSET('Smelter Look-up'!$I$4,$V55-4,0))</f>
        <v>Minas Gerais</v>
      </c>
      <c r="K55" s="273"/>
      <c r="L55" s="273"/>
      <c r="M55" s="273"/>
      <c r="N55" s="273"/>
      <c r="O55" s="273"/>
      <c r="P55" s="220"/>
      <c r="Q55" s="274"/>
      <c r="R55" s="217" t="str">
        <f ca="1">IF(ISERROR($V55),"",OFFSET('Smelter Look-up'!$C$4,$V55-4,0)&amp;"")</f>
        <v>AngloGold Ashanti Corrego do Sitio Mineracao</v>
      </c>
      <c r="S55" s="225" t="str">
        <f t="shared" ca="1" si="6"/>
        <v>BR</v>
      </c>
      <c r="T55" s="225" t="str">
        <f ca="1">IF(B55="","",IF(ISERROR(MATCH($J55,SorP!$B$1:$B$6230,0)),"",INDIRECT("'SorP'!$A$"&amp;MATCH($J55,SorP!$B$1:$B$6230,0))))</f>
        <v>BR-MG</v>
      </c>
      <c r="U55" s="241"/>
      <c r="V55" s="275">
        <f ca="1">IF(C55="",NA(),MATCH($B55&amp;$C55,'Smelter Look-up'!$J:$J,0))</f>
        <v>18</v>
      </c>
      <c r="W55" s="276"/>
      <c r="X55" s="276">
        <f t="shared" ca="1" si="7"/>
        <v>0</v>
      </c>
      <c r="Y55" s="276"/>
      <c r="Z55" s="276"/>
      <c r="AB55" s="278" t="str">
        <f t="shared" ca="1" si="8"/>
        <v>GoldAngloGold Ashanti Corrego do Sitio Mineracao</v>
      </c>
    </row>
    <row r="56" spans="1:28" s="277" customFormat="1" ht="20.25">
      <c r="A56" s="450" t="s">
        <v>670</v>
      </c>
      <c r="B56" s="217" t="str">
        <f ca="1">IF(LEN(A56)=0,"",INDEX('Smelter Look-up'!$A:$A,MATCH($A56,'Smelter Look-up'!$E:$E,0)))</f>
        <v>Gold</v>
      </c>
      <c r="C56" s="221" t="str">
        <f ca="1">IF(LEN(A56)=0,"",INDEX('Smelter Look-up'!$C:$C,MATCH($A56,'Smelter Look-up'!$E:$E,0)))</f>
        <v>Argor-Heraeus S.A.</v>
      </c>
      <c r="D56" s="283"/>
      <c r="E56" s="217" t="str">
        <f ca="1">IF(ISERROR($V56),"",OFFSET('Smelter Look-up'!$D$4,$V56-4,0)&amp;"")</f>
        <v>SWITZERLAND</v>
      </c>
      <c r="F56" s="217" t="str">
        <f ca="1">IF(ISERROR($V56),"",OFFSET('Smelter Look-up'!$E$4,$V56-4,0))</f>
        <v>CID000077</v>
      </c>
      <c r="G56" s="217" t="str">
        <f ca="1">IF(C56=$X$4,"Enter smelter details",IF(ISERROR($V56),"",OFFSET('Smelter Look-up'!$F$4,$V56-4,0)))</f>
        <v>RMI</v>
      </c>
      <c r="H56" s="218">
        <f ca="1">IF(ISERROR($V56),"",OFFSET('Smelter Look-up'!$G$4,$V56-4,0))</f>
        <v>0</v>
      </c>
      <c r="I56" s="219" t="str">
        <f ca="1">IF(ISERROR($V56),"",OFFSET('Smelter Look-up'!$H$4,$V56-4,0))</f>
        <v>Mendrisio</v>
      </c>
      <c r="J56" s="219" t="str">
        <f ca="1">IF(ISERROR($V56),"",OFFSET('Smelter Look-up'!$I$4,$V56-4,0))</f>
        <v>Ticino</v>
      </c>
      <c r="K56" s="273"/>
      <c r="L56" s="273"/>
      <c r="M56" s="273"/>
      <c r="N56" s="273"/>
      <c r="O56" s="273"/>
      <c r="P56" s="220"/>
      <c r="Q56" s="274"/>
      <c r="R56" s="217" t="str">
        <f ca="1">IF(ISERROR($V56),"",OFFSET('Smelter Look-up'!$C$4,$V56-4,0)&amp;"")</f>
        <v>Argor-Heraeus S.A.</v>
      </c>
      <c r="S56" s="225" t="str">
        <f t="shared" ca="1" si="6"/>
        <v>CH</v>
      </c>
      <c r="T56" s="225" t="str">
        <f ca="1">IF(B56="","",IF(ISERROR(MATCH($J56,SorP!$B$1:$B$6230,0)),"",INDIRECT("'SorP'!$A$"&amp;MATCH($J56,SorP!$B$1:$B$6230,0))))</f>
        <v>CH-TI</v>
      </c>
      <c r="U56" s="241"/>
      <c r="V56" s="275">
        <f ca="1">IF(C56="",NA(),MATCH($B56&amp;$C56,'Smelter Look-up'!$J:$J,0))</f>
        <v>23</v>
      </c>
      <c r="W56" s="276"/>
      <c r="X56" s="276">
        <f t="shared" ca="1" si="7"/>
        <v>0</v>
      </c>
      <c r="Y56" s="276"/>
      <c r="Z56" s="276"/>
      <c r="AB56" s="278" t="str">
        <f t="shared" ca="1" si="8"/>
        <v>GoldArgor-Heraeus S.A.</v>
      </c>
    </row>
    <row r="57" spans="1:28" s="277" customFormat="1" ht="20.25">
      <c r="A57" s="450" t="s">
        <v>671</v>
      </c>
      <c r="B57" s="217" t="str">
        <f ca="1">IF(LEN(A57)=0,"",INDEX('Smelter Look-up'!$A:$A,MATCH($A57,'Smelter Look-up'!$E:$E,0)))</f>
        <v>Gold</v>
      </c>
      <c r="C57" s="221" t="str">
        <f ca="1">IF(LEN(A57)=0,"",INDEX('Smelter Look-up'!$C:$C,MATCH($A57,'Smelter Look-up'!$E:$E,0)))</f>
        <v>Asahi Pretec Corp.</v>
      </c>
      <c r="D57" s="283"/>
      <c r="E57" s="217" t="str">
        <f ca="1">IF(ISERROR($V57),"",OFFSET('Smelter Look-up'!$D$4,$V57-4,0)&amp;"")</f>
        <v>JAPAN</v>
      </c>
      <c r="F57" s="217" t="str">
        <f ca="1">IF(ISERROR($V57),"",OFFSET('Smelter Look-up'!$E$4,$V57-4,0))</f>
        <v>CID000082</v>
      </c>
      <c r="G57" s="217" t="str">
        <f ca="1">IF(C57=$X$4,"Enter smelter details",IF(ISERROR($V57),"",OFFSET('Smelter Look-up'!$F$4,$V57-4,0)))</f>
        <v>RMI</v>
      </c>
      <c r="H57" s="218">
        <f ca="1">IF(ISERROR($V57),"",OFFSET('Smelter Look-up'!$G$4,$V57-4,0))</f>
        <v>0</v>
      </c>
      <c r="I57" s="219" t="str">
        <f ca="1">IF(ISERROR($V57),"",OFFSET('Smelter Look-up'!$H$4,$V57-4,0))</f>
        <v>Kobe</v>
      </c>
      <c r="J57" s="219" t="str">
        <f ca="1">IF(ISERROR($V57),"",OFFSET('Smelter Look-up'!$I$4,$V57-4,0))</f>
        <v>Hyogo</v>
      </c>
      <c r="K57" s="273"/>
      <c r="L57" s="273"/>
      <c r="M57" s="273"/>
      <c r="N57" s="273"/>
      <c r="O57" s="273"/>
      <c r="P57" s="220"/>
      <c r="Q57" s="274"/>
      <c r="R57" s="217" t="str">
        <f ca="1">IF(ISERROR($V57),"",OFFSET('Smelter Look-up'!$C$4,$V57-4,0)&amp;"")</f>
        <v>Asahi Pretec Corp.</v>
      </c>
      <c r="S57" s="225" t="str">
        <f t="shared" ca="1" si="6"/>
        <v>JP</v>
      </c>
      <c r="T57" s="225" t="str">
        <f ca="1">IF(B57="","",IF(ISERROR(MATCH($J57,SorP!$B$1:$B$6230,0)),"",INDIRECT("'SorP'!$A$"&amp;MATCH($J57,SorP!$B$1:$B$6230,0))))</f>
        <v>JP-28</v>
      </c>
      <c r="U57" s="241"/>
      <c r="V57" s="275">
        <f ca="1">IF(C57="",NA(),MATCH($B57&amp;$C57,'Smelter Look-up'!$J:$J,0))</f>
        <v>24</v>
      </c>
      <c r="W57" s="276"/>
      <c r="X57" s="276">
        <f t="shared" ca="1" si="7"/>
        <v>0</v>
      </c>
      <c r="Y57" s="276"/>
      <c r="Z57" s="276"/>
      <c r="AB57" s="278" t="str">
        <f t="shared" ca="1" si="8"/>
        <v>GoldAsahi Pretec Corp.</v>
      </c>
    </row>
    <row r="58" spans="1:28" s="277" customFormat="1" ht="20.25">
      <c r="A58" s="450" t="s">
        <v>705</v>
      </c>
      <c r="B58" s="217" t="str">
        <f ca="1">IF(LEN(A58)=0,"",INDEX('Smelter Look-up'!$A:$A,MATCH($A58,'Smelter Look-up'!$E:$E,0)))</f>
        <v>Gold</v>
      </c>
      <c r="C58" s="221" t="str">
        <f ca="1">IF(LEN(A58)=0,"",INDEX('Smelter Look-up'!$C:$C,MATCH($A58,'Smelter Look-up'!$E:$E,0)))</f>
        <v>Asahi Refining Canada Ltd.</v>
      </c>
      <c r="D58" s="283"/>
      <c r="E58" s="217" t="str">
        <f ca="1">IF(ISERROR($V58),"",OFFSET('Smelter Look-up'!$D$4,$V58-4,0)&amp;"")</f>
        <v>CANADA</v>
      </c>
      <c r="F58" s="217" t="str">
        <f ca="1">IF(ISERROR($V58),"",OFFSET('Smelter Look-up'!$E$4,$V58-4,0))</f>
        <v>CID000924</v>
      </c>
      <c r="G58" s="217" t="str">
        <f ca="1">IF(C58=$X$4,"Enter smelter details",IF(ISERROR($V58),"",OFFSET('Smelter Look-up'!$F$4,$V58-4,0)))</f>
        <v>RMI</v>
      </c>
      <c r="H58" s="218">
        <f ca="1">IF(ISERROR($V58),"",OFFSET('Smelter Look-up'!$G$4,$V58-4,0))</f>
        <v>0</v>
      </c>
      <c r="I58" s="219" t="str">
        <f ca="1">IF(ISERROR($V58),"",OFFSET('Smelter Look-up'!$H$4,$V58-4,0))</f>
        <v>Brampton</v>
      </c>
      <c r="J58" s="219" t="str">
        <f ca="1">IF(ISERROR($V58),"",OFFSET('Smelter Look-up'!$I$4,$V58-4,0))</f>
        <v>Ontario</v>
      </c>
      <c r="K58" s="273"/>
      <c r="L58" s="273"/>
      <c r="M58" s="273"/>
      <c r="N58" s="273"/>
      <c r="O58" s="273"/>
      <c r="P58" s="220"/>
      <c r="Q58" s="274"/>
      <c r="R58" s="217" t="str">
        <f ca="1">IF(ISERROR($V58),"",OFFSET('Smelter Look-up'!$C$4,$V58-4,0)&amp;"")</f>
        <v>Asahi Refining Canada Ltd.</v>
      </c>
      <c r="S58" s="225" t="str">
        <f t="shared" ca="1" si="6"/>
        <v>CA</v>
      </c>
      <c r="T58" s="225" t="str">
        <f ca="1">IF(B58="","",IF(ISERROR(MATCH($J58,SorP!$B$1:$B$6230,0)),"",INDIRECT("'SorP'!$A$"&amp;MATCH($J58,SorP!$B$1:$B$6230,0))))</f>
        <v>CA-ON</v>
      </c>
      <c r="U58" s="241"/>
      <c r="V58" s="275">
        <f ca="1">IF(C58="",NA(),MATCH($B58&amp;$C58,'Smelter Look-up'!$J:$J,0))</f>
        <v>25</v>
      </c>
      <c r="W58" s="276"/>
      <c r="X58" s="276">
        <f t="shared" ca="1" si="7"/>
        <v>0</v>
      </c>
      <c r="Y58" s="276"/>
      <c r="Z58" s="276"/>
      <c r="AB58" s="278" t="str">
        <f t="shared" ca="1" si="8"/>
        <v>GoldAsahi Refining Canada Ltd.</v>
      </c>
    </row>
    <row r="59" spans="1:28" s="277" customFormat="1" ht="20.25">
      <c r="A59" s="450" t="s">
        <v>704</v>
      </c>
      <c r="B59" s="217" t="str">
        <f ca="1">IF(LEN(A59)=0,"",INDEX('Smelter Look-up'!$A:$A,MATCH($A59,'Smelter Look-up'!$E:$E,0)))</f>
        <v>Gold</v>
      </c>
      <c r="C59" s="221" t="str">
        <f ca="1">IF(LEN(A59)=0,"",INDEX('Smelter Look-up'!$C:$C,MATCH($A59,'Smelter Look-up'!$E:$E,0)))</f>
        <v>Asahi Refining USA Inc.</v>
      </c>
      <c r="D59" s="283"/>
      <c r="E59" s="217" t="str">
        <f ca="1">IF(ISERROR($V59),"",OFFSET('Smelter Look-up'!$D$4,$V59-4,0)&amp;"")</f>
        <v>UNITED STATES OF AMERICA</v>
      </c>
      <c r="F59" s="217" t="str">
        <f ca="1">IF(ISERROR($V59),"",OFFSET('Smelter Look-up'!$E$4,$V59-4,0))</f>
        <v>CID000920</v>
      </c>
      <c r="G59" s="217" t="str">
        <f ca="1">IF(C59=$X$4,"Enter smelter details",IF(ISERROR($V59),"",OFFSET('Smelter Look-up'!$F$4,$V59-4,0)))</f>
        <v>RMI</v>
      </c>
      <c r="H59" s="218">
        <f ca="1">IF(ISERROR($V59),"",OFFSET('Smelter Look-up'!$G$4,$V59-4,0))</f>
        <v>0</v>
      </c>
      <c r="I59" s="219" t="str">
        <f ca="1">IF(ISERROR($V59),"",OFFSET('Smelter Look-up'!$H$4,$V59-4,0))</f>
        <v>Salt Lake City</v>
      </c>
      <c r="J59" s="219" t="str">
        <f ca="1">IF(ISERROR($V59),"",OFFSET('Smelter Look-up'!$I$4,$V59-4,0))</f>
        <v>Utah</v>
      </c>
      <c r="K59" s="273"/>
      <c r="L59" s="273"/>
      <c r="M59" s="273"/>
      <c r="N59" s="273"/>
      <c r="O59" s="273"/>
      <c r="P59" s="220"/>
      <c r="Q59" s="274"/>
      <c r="R59" s="217" t="str">
        <f ca="1">IF(ISERROR($V59),"",OFFSET('Smelter Look-up'!$C$4,$V59-4,0)&amp;"")</f>
        <v>Asahi Refining USA Inc.</v>
      </c>
      <c r="S59" s="225" t="str">
        <f t="shared" ca="1" si="6"/>
        <v>US</v>
      </c>
      <c r="T59" s="225" t="str">
        <f ca="1">IF(B59="","",IF(ISERROR(MATCH($J59,SorP!$B$1:$B$6230,0)),"",INDIRECT("'SorP'!$A$"&amp;MATCH($J59,SorP!$B$1:$B$6230,0))))</f>
        <v>US-UT</v>
      </c>
      <c r="U59" s="241"/>
      <c r="V59" s="275">
        <f ca="1">IF(C59="",NA(),MATCH($B59&amp;$C59,'Smelter Look-up'!$J:$J,0))</f>
        <v>26</v>
      </c>
      <c r="W59" s="276"/>
      <c r="X59" s="276">
        <f t="shared" ca="1" si="7"/>
        <v>0</v>
      </c>
      <c r="Y59" s="276"/>
      <c r="Z59" s="276"/>
      <c r="AB59" s="278" t="str">
        <f t="shared" ca="1" si="8"/>
        <v>GoldAsahi Refining USA Inc.</v>
      </c>
    </row>
    <row r="60" spans="1:28" s="277" customFormat="1" ht="20.25">
      <c r="A60" s="450" t="s">
        <v>672</v>
      </c>
      <c r="B60" s="217" t="str">
        <f ca="1">IF(LEN(A60)=0,"",INDEX('Smelter Look-up'!$A:$A,MATCH($A60,'Smelter Look-up'!$E:$E,0)))</f>
        <v>Gold</v>
      </c>
      <c r="C60" s="221" t="str">
        <f ca="1">IF(LEN(A60)=0,"",INDEX('Smelter Look-up'!$C:$C,MATCH($A60,'Smelter Look-up'!$E:$E,0)))</f>
        <v>Asaka Riken Co., Ltd.</v>
      </c>
      <c r="D60" s="283"/>
      <c r="E60" s="217" t="str">
        <f ca="1">IF(ISERROR($V60),"",OFFSET('Smelter Look-up'!$D$4,$V60-4,0)&amp;"")</f>
        <v>JAPAN</v>
      </c>
      <c r="F60" s="217" t="str">
        <f ca="1">IF(ISERROR($V60),"",OFFSET('Smelter Look-up'!$E$4,$V60-4,0))</f>
        <v>CID000090</v>
      </c>
      <c r="G60" s="217" t="str">
        <f ca="1">IF(C60=$X$4,"Enter smelter details",IF(ISERROR($V60),"",OFFSET('Smelter Look-up'!$F$4,$V60-4,0)))</f>
        <v>RMI</v>
      </c>
      <c r="H60" s="218">
        <f ca="1">IF(ISERROR($V60),"",OFFSET('Smelter Look-up'!$G$4,$V60-4,0))</f>
        <v>0</v>
      </c>
      <c r="I60" s="219" t="str">
        <f ca="1">IF(ISERROR($V60),"",OFFSET('Smelter Look-up'!$H$4,$V60-4,0))</f>
        <v>Tamura</v>
      </c>
      <c r="J60" s="219" t="str">
        <f ca="1">IF(ISERROR($V60),"",OFFSET('Smelter Look-up'!$I$4,$V60-4,0))</f>
        <v>Fukushima</v>
      </c>
      <c r="K60" s="273"/>
      <c r="L60" s="273"/>
      <c r="M60" s="273"/>
      <c r="N60" s="273"/>
      <c r="O60" s="273"/>
      <c r="P60" s="220"/>
      <c r="Q60" s="274"/>
      <c r="R60" s="217" t="str">
        <f ca="1">IF(ISERROR($V60),"",OFFSET('Smelter Look-up'!$C$4,$V60-4,0)&amp;"")</f>
        <v>Asaka Riken Co., Ltd.</v>
      </c>
      <c r="S60" s="225" t="str">
        <f t="shared" ca="1" si="6"/>
        <v>JP</v>
      </c>
      <c r="T60" s="225" t="str">
        <f ca="1">IF(B60="","",IF(ISERROR(MATCH($J60,SorP!$B$1:$B$6230,0)),"",INDIRECT("'SorP'!$A$"&amp;MATCH($J60,SorP!$B$1:$B$6230,0))))</f>
        <v>JP-07</v>
      </c>
      <c r="U60" s="241"/>
      <c r="V60" s="275">
        <f ca="1">IF(C60="",NA(),MATCH($B60&amp;$C60,'Smelter Look-up'!$J:$J,0))</f>
        <v>27</v>
      </c>
      <c r="W60" s="276"/>
      <c r="X60" s="276">
        <f t="shared" ca="1" si="7"/>
        <v>0</v>
      </c>
      <c r="Y60" s="276"/>
      <c r="Z60" s="276"/>
      <c r="AB60" s="278" t="str">
        <f t="shared" ca="1" si="8"/>
        <v>GoldAsaka Riken Co., Ltd.</v>
      </c>
    </row>
    <row r="61" spans="1:28" s="277" customFormat="1" ht="20.25">
      <c r="A61" s="450" t="s">
        <v>2413</v>
      </c>
      <c r="B61" s="217" t="str">
        <f ca="1">IF(LEN(A61)=0,"",INDEX('Smelter Look-up'!$A:$A,MATCH($A61,'Smelter Look-up'!$E:$E,0)))</f>
        <v>Gold</v>
      </c>
      <c r="C61" s="221" t="str">
        <f ca="1">IF(LEN(A61)=0,"",INDEX('Smelter Look-up'!$C:$C,MATCH($A61,'Smelter Look-up'!$E:$E,0)))</f>
        <v>AU Traders and Refiners</v>
      </c>
      <c r="D61" s="283"/>
      <c r="E61" s="217" t="str">
        <f ca="1">IF(ISERROR($V61),"",OFFSET('Smelter Look-up'!$D$4,$V61-4,0)&amp;"")</f>
        <v>SOUTH AFRICA</v>
      </c>
      <c r="F61" s="217" t="str">
        <f ca="1">IF(ISERROR($V61),"",OFFSET('Smelter Look-up'!$E$4,$V61-4,0))</f>
        <v>CID002850</v>
      </c>
      <c r="G61" s="217" t="str">
        <f ca="1">IF(C61=$X$4,"Enter smelter details",IF(ISERROR($V61),"",OFFSET('Smelter Look-up'!$F$4,$V61-4,0)))</f>
        <v>RMI</v>
      </c>
      <c r="H61" s="218">
        <f ca="1">IF(ISERROR($V61),"",OFFSET('Smelter Look-up'!$G$4,$V61-4,0))</f>
        <v>0</v>
      </c>
      <c r="I61" s="219" t="str">
        <f ca="1">IF(ISERROR($V61),"",OFFSET('Smelter Look-up'!$H$4,$V61-4,0))</f>
        <v>Johannesburg</v>
      </c>
      <c r="J61" s="219" t="str">
        <f ca="1">IF(ISERROR($V61),"",OFFSET('Smelter Look-up'!$I$4,$V61-4,0))</f>
        <v>Gauteng</v>
      </c>
      <c r="K61" s="273"/>
      <c r="L61" s="273"/>
      <c r="M61" s="273"/>
      <c r="N61" s="273"/>
      <c r="O61" s="273"/>
      <c r="P61" s="220"/>
      <c r="Q61" s="274"/>
      <c r="R61" s="217" t="str">
        <f ca="1">IF(ISERROR($V61),"",OFFSET('Smelter Look-up'!$C$4,$V61-4,0)&amp;"")</f>
        <v>AU Traders and Refiners</v>
      </c>
      <c r="S61" s="225" t="str">
        <f t="shared" ca="1" si="6"/>
        <v>ZA</v>
      </c>
      <c r="T61" s="225" t="str">
        <f ca="1">IF(B61="","",IF(ISERROR(MATCH($J61,SorP!$B$1:$B$6230,0)),"",INDIRECT("'SorP'!$A$"&amp;MATCH($J61,SorP!$B$1:$B$6230,0))))</f>
        <v>ZA-GT</v>
      </c>
      <c r="U61" s="241"/>
      <c r="V61" s="275">
        <f ca="1">IF(C61="",NA(),MATCH($B61&amp;$C61,'Smelter Look-up'!$J:$J,0))</f>
        <v>30</v>
      </c>
      <c r="W61" s="276"/>
      <c r="X61" s="276">
        <f t="shared" ca="1" si="7"/>
        <v>0</v>
      </c>
      <c r="Y61" s="276"/>
      <c r="Z61" s="276"/>
      <c r="AB61" s="278" t="str">
        <f t="shared" ca="1" si="8"/>
        <v>GoldAU Traders and Refiners</v>
      </c>
    </row>
    <row r="62" spans="1:28" s="277" customFormat="1" ht="20.25">
      <c r="A62" s="450" t="s">
        <v>674</v>
      </c>
      <c r="B62" s="217" t="str">
        <f ca="1">IF(LEN(A62)=0,"",INDEX('Smelter Look-up'!$A:$A,MATCH($A62,'Smelter Look-up'!$E:$E,0)))</f>
        <v>Gold</v>
      </c>
      <c r="C62" s="221" t="str">
        <f ca="1">IF(LEN(A62)=0,"",INDEX('Smelter Look-up'!$C:$C,MATCH($A62,'Smelter Look-up'!$E:$E,0)))</f>
        <v>Aurubis AG</v>
      </c>
      <c r="D62" s="283"/>
      <c r="E62" s="217" t="str">
        <f ca="1">IF(ISERROR($V62),"",OFFSET('Smelter Look-up'!$D$4,$V62-4,0)&amp;"")</f>
        <v>GERMANY</v>
      </c>
      <c r="F62" s="217" t="str">
        <f ca="1">IF(ISERROR($V62),"",OFFSET('Smelter Look-up'!$E$4,$V62-4,0))</f>
        <v>CID000113</v>
      </c>
      <c r="G62" s="217" t="str">
        <f ca="1">IF(C62=$X$4,"Enter smelter details",IF(ISERROR($V62),"",OFFSET('Smelter Look-up'!$F$4,$V62-4,0)))</f>
        <v>RMI</v>
      </c>
      <c r="H62" s="218">
        <f ca="1">IF(ISERROR($V62),"",OFFSET('Smelter Look-up'!$G$4,$V62-4,0))</f>
        <v>0</v>
      </c>
      <c r="I62" s="219" t="str">
        <f ca="1">IF(ISERROR($V62),"",OFFSET('Smelter Look-up'!$H$4,$V62-4,0))</f>
        <v>Hamburg</v>
      </c>
      <c r="J62" s="219" t="str">
        <f ca="1">IF(ISERROR($V62),"",OFFSET('Smelter Look-up'!$I$4,$V62-4,0))</f>
        <v>Hamburg</v>
      </c>
      <c r="K62" s="273"/>
      <c r="L62" s="273"/>
      <c r="M62" s="273"/>
      <c r="N62" s="273"/>
      <c r="O62" s="273"/>
      <c r="P62" s="220"/>
      <c r="Q62" s="274"/>
      <c r="R62" s="217" t="str">
        <f ca="1">IF(ISERROR($V62),"",OFFSET('Smelter Look-up'!$C$4,$V62-4,0)&amp;"")</f>
        <v>Aurubis AG</v>
      </c>
      <c r="S62" s="225" t="str">
        <f t="shared" ca="1" si="6"/>
        <v>DE</v>
      </c>
      <c r="T62" s="225" t="str">
        <f ca="1">IF(B62="","",IF(ISERROR(MATCH($J62,SorP!$B$1:$B$6230,0)),"",INDIRECT("'SorP'!$A$"&amp;MATCH($J62,SorP!$B$1:$B$6230,0))))</f>
        <v>DE-HH</v>
      </c>
      <c r="U62" s="241"/>
      <c r="V62" s="275">
        <f ca="1">IF(C62="",NA(),MATCH($B62&amp;$C62,'Smelter Look-up'!$J:$J,0))</f>
        <v>32</v>
      </c>
      <c r="W62" s="276"/>
      <c r="X62" s="276">
        <f t="shared" ca="1" si="7"/>
        <v>0</v>
      </c>
      <c r="Y62" s="276"/>
      <c r="Z62" s="276"/>
      <c r="AB62" s="278" t="str">
        <f t="shared" ca="1" si="8"/>
        <v>GoldAurubis AG</v>
      </c>
    </row>
    <row r="63" spans="1:28" s="277" customFormat="1" ht="20.25">
      <c r="A63" s="450" t="s">
        <v>2417</v>
      </c>
      <c r="B63" s="217" t="str">
        <f ca="1">IF(LEN(A63)=0,"",INDEX('Smelter Look-up'!$A:$A,MATCH($A63,'Smelter Look-up'!$E:$E,0)))</f>
        <v>Gold</v>
      </c>
      <c r="C63" s="221" t="str">
        <f ca="1">IF(LEN(A63)=0,"",INDEX('Smelter Look-up'!$C:$C,MATCH($A63,'Smelter Look-up'!$E:$E,0)))</f>
        <v>Bangalore Refinery</v>
      </c>
      <c r="D63" s="283"/>
      <c r="E63" s="217" t="str">
        <f ca="1">IF(ISERROR($V63),"",OFFSET('Smelter Look-up'!$D$4,$V63-4,0)&amp;"")</f>
        <v>INDIA</v>
      </c>
      <c r="F63" s="217" t="str">
        <f ca="1">IF(ISERROR($V63),"",OFFSET('Smelter Look-up'!$E$4,$V63-4,0))</f>
        <v>CID002863</v>
      </c>
      <c r="G63" s="217" t="str">
        <f ca="1">IF(C63=$X$4,"Enter smelter details",IF(ISERROR($V63),"",OFFSET('Smelter Look-up'!$F$4,$V63-4,0)))</f>
        <v>RMI</v>
      </c>
      <c r="H63" s="218">
        <f ca="1">IF(ISERROR($V63),"",OFFSET('Smelter Look-up'!$G$4,$V63-4,0))</f>
        <v>0</v>
      </c>
      <c r="I63" s="219" t="str">
        <f ca="1">IF(ISERROR($V63),"",OFFSET('Smelter Look-up'!$H$4,$V63-4,0))</f>
        <v>Bangalore</v>
      </c>
      <c r="J63" s="219" t="str">
        <f ca="1">IF(ISERROR($V63),"",OFFSET('Smelter Look-up'!$I$4,$V63-4,0))</f>
        <v>Karnataka</v>
      </c>
      <c r="K63" s="273"/>
      <c r="L63" s="273"/>
      <c r="M63" s="273"/>
      <c r="N63" s="273"/>
      <c r="O63" s="273"/>
      <c r="P63" s="220"/>
      <c r="Q63" s="274"/>
      <c r="R63" s="217" t="str">
        <f ca="1">IF(ISERROR($V63),"",OFFSET('Smelter Look-up'!$C$4,$V63-4,0)&amp;"")</f>
        <v>Bangalore Refinery</v>
      </c>
      <c r="S63" s="225" t="str">
        <f t="shared" ca="1" si="6"/>
        <v>IN</v>
      </c>
      <c r="T63" s="225" t="str">
        <f ca="1">IF(B63="","",IF(ISERROR(MATCH($J63,SorP!$B$1:$B$6230,0)),"",INDIRECT("'SorP'!$A$"&amp;MATCH($J63,SorP!$B$1:$B$6230,0))))</f>
        <v>IN-KA</v>
      </c>
      <c r="U63" s="241"/>
      <c r="V63" s="275">
        <f ca="1">IF(C63="",NA(),MATCH($B63&amp;$C63,'Smelter Look-up'!$J:$J,0))</f>
        <v>34</v>
      </c>
      <c r="W63" s="276"/>
      <c r="X63" s="276">
        <f t="shared" ca="1" si="7"/>
        <v>0</v>
      </c>
      <c r="Y63" s="276"/>
      <c r="Z63" s="276"/>
      <c r="AB63" s="278" t="str">
        <f t="shared" ca="1" si="8"/>
        <v>GoldBangalore Refinery</v>
      </c>
    </row>
    <row r="64" spans="1:28" s="277" customFormat="1" ht="20.25">
      <c r="A64" s="450" t="s">
        <v>675</v>
      </c>
      <c r="B64" s="217" t="str">
        <f ca="1">IF(LEN(A64)=0,"",INDEX('Smelter Look-up'!$A:$A,MATCH($A64,'Smelter Look-up'!$E:$E,0)))</f>
        <v>Gold</v>
      </c>
      <c r="C64" s="221" t="str">
        <f ca="1">IF(LEN(A64)=0,"",INDEX('Smelter Look-up'!$C:$C,MATCH($A64,'Smelter Look-up'!$E:$E,0)))</f>
        <v>Bangko Sentral ng Pilipinas (Central Bank of the Philippines)</v>
      </c>
      <c r="D64" s="283"/>
      <c r="E64" s="217" t="str">
        <f ca="1">IF(ISERROR($V64),"",OFFSET('Smelter Look-up'!$D$4,$V64-4,0)&amp;"")</f>
        <v>PHILIPPINES</v>
      </c>
      <c r="F64" s="217" t="str">
        <f ca="1">IF(ISERROR($V64),"",OFFSET('Smelter Look-up'!$E$4,$V64-4,0))</f>
        <v>CID000128</v>
      </c>
      <c r="G64" s="217" t="str">
        <f ca="1">IF(C64=$X$4,"Enter smelter details",IF(ISERROR($V64),"",OFFSET('Smelter Look-up'!$F$4,$V64-4,0)))</f>
        <v>RMI</v>
      </c>
      <c r="H64" s="218">
        <f ca="1">IF(ISERROR($V64),"",OFFSET('Smelter Look-up'!$G$4,$V64-4,0))</f>
        <v>0</v>
      </c>
      <c r="I64" s="219" t="str">
        <f ca="1">IF(ISERROR($V64),"",OFFSET('Smelter Look-up'!$H$4,$V64-4,0))</f>
        <v>Quezon City</v>
      </c>
      <c r="J64" s="219" t="str">
        <f ca="1">IF(ISERROR($V64),"",OFFSET('Smelter Look-up'!$I$4,$V64-4,0))</f>
        <v>Rizal</v>
      </c>
      <c r="K64" s="273"/>
      <c r="L64" s="273"/>
      <c r="M64" s="273"/>
      <c r="N64" s="273"/>
      <c r="O64" s="273"/>
      <c r="P64" s="220"/>
      <c r="Q64" s="274"/>
      <c r="R64" s="217" t="str">
        <f ca="1">IF(ISERROR($V64),"",OFFSET('Smelter Look-up'!$C$4,$V64-4,0)&amp;"")</f>
        <v>Bangko Sentral ng Pilipinas (Central Bank of the Philippines)</v>
      </c>
      <c r="S64" s="225" t="str">
        <f t="shared" ca="1" si="6"/>
        <v>PH</v>
      </c>
      <c r="T64" s="225" t="str">
        <f ca="1">IF(B64="","",IF(ISERROR(MATCH($J64,SorP!$B$1:$B$6230,0)),"",INDIRECT("'SorP'!$A$"&amp;MATCH($J64,SorP!$B$1:$B$6230,0))))</f>
        <v>PH-RIZ</v>
      </c>
      <c r="U64" s="241"/>
      <c r="V64" s="275">
        <f ca="1">IF(C64="",NA(),MATCH($B64&amp;$C64,'Smelter Look-up'!$J:$J,0))</f>
        <v>36</v>
      </c>
      <c r="W64" s="276"/>
      <c r="X64" s="276">
        <f t="shared" ca="1" si="7"/>
        <v>0</v>
      </c>
      <c r="Y64" s="276"/>
      <c r="Z64" s="276"/>
      <c r="AB64" s="278" t="str">
        <f t="shared" ca="1" si="8"/>
        <v>GoldBangko Sentral ng Pilipinas (Central Bank of the Philippines)</v>
      </c>
    </row>
    <row r="65" spans="1:28" s="277" customFormat="1" ht="20.25">
      <c r="A65" s="450" t="s">
        <v>676</v>
      </c>
      <c r="B65" s="217" t="str">
        <f ca="1">IF(LEN(A65)=0,"",INDEX('Smelter Look-up'!$A:$A,MATCH($A65,'Smelter Look-up'!$E:$E,0)))</f>
        <v>Gold</v>
      </c>
      <c r="C65" s="221" t="str">
        <f ca="1">IF(LEN(A65)=0,"",INDEX('Smelter Look-up'!$C:$C,MATCH($A65,'Smelter Look-up'!$E:$E,0)))</f>
        <v>Boliden AB</v>
      </c>
      <c r="D65" s="283"/>
      <c r="E65" s="217" t="str">
        <f ca="1">IF(ISERROR($V65),"",OFFSET('Smelter Look-up'!$D$4,$V65-4,0)&amp;"")</f>
        <v>SWEDEN</v>
      </c>
      <c r="F65" s="217" t="str">
        <f ca="1">IF(ISERROR($V65),"",OFFSET('Smelter Look-up'!$E$4,$V65-4,0))</f>
        <v>CID000157</v>
      </c>
      <c r="G65" s="217" t="str">
        <f ca="1">IF(C65=$X$4,"Enter smelter details",IF(ISERROR($V65),"",OFFSET('Smelter Look-up'!$F$4,$V65-4,0)))</f>
        <v>RMI</v>
      </c>
      <c r="H65" s="218">
        <f ca="1">IF(ISERROR($V65),"",OFFSET('Smelter Look-up'!$G$4,$V65-4,0))</f>
        <v>0</v>
      </c>
      <c r="I65" s="219" t="str">
        <f ca="1">IF(ISERROR($V65),"",OFFSET('Smelter Look-up'!$H$4,$V65-4,0))</f>
        <v>Skelleftehamn</v>
      </c>
      <c r="J65" s="219" t="str">
        <f ca="1">IF(ISERROR($V65),"",OFFSET('Smelter Look-up'!$I$4,$V65-4,0))</f>
        <v>Västerbottens län [SE-24]</v>
      </c>
      <c r="K65" s="273"/>
      <c r="L65" s="273"/>
      <c r="M65" s="273"/>
      <c r="N65" s="273"/>
      <c r="O65" s="273"/>
      <c r="P65" s="220"/>
      <c r="Q65" s="274"/>
      <c r="R65" s="217" t="str">
        <f ca="1">IF(ISERROR($V65),"",OFFSET('Smelter Look-up'!$C$4,$V65-4,0)&amp;"")</f>
        <v>Boliden AB</v>
      </c>
      <c r="S65" s="225" t="str">
        <f t="shared" ca="1" si="6"/>
        <v>SE</v>
      </c>
      <c r="T65" s="225" t="str">
        <f ca="1">IF(B65="","",IF(ISERROR(MATCH($J65,SorP!$B$1:$B$6230,0)),"",INDIRECT("'SorP'!$A$"&amp;MATCH($J65,SorP!$B$1:$B$6230,0))))</f>
        <v>SE-AC</v>
      </c>
      <c r="U65" s="241"/>
      <c r="V65" s="275">
        <f ca="1">IF(C65="",NA(),MATCH($B65&amp;$C65,'Smelter Look-up'!$J:$J,0))</f>
        <v>37</v>
      </c>
      <c r="W65" s="276"/>
      <c r="X65" s="276">
        <f t="shared" ca="1" si="7"/>
        <v>0</v>
      </c>
      <c r="Y65" s="276"/>
      <c r="Z65" s="276"/>
      <c r="AB65" s="278" t="str">
        <f t="shared" ca="1" si="8"/>
        <v>GoldBoliden AB</v>
      </c>
    </row>
    <row r="66" spans="1:28" s="277" customFormat="1" ht="20.25">
      <c r="A66" s="450" t="s">
        <v>678</v>
      </c>
      <c r="B66" s="217" t="str">
        <f ca="1">IF(LEN(A66)=0,"",INDEX('Smelter Look-up'!$A:$A,MATCH($A66,'Smelter Look-up'!$E:$E,0)))</f>
        <v>Gold</v>
      </c>
      <c r="C66" s="221" t="str">
        <f ca="1">IF(LEN(A66)=0,"",INDEX('Smelter Look-up'!$C:$C,MATCH($A66,'Smelter Look-up'!$E:$E,0)))</f>
        <v>C. Hafner GmbH + Co. KG</v>
      </c>
      <c r="D66" s="283"/>
      <c r="E66" s="217" t="str">
        <f ca="1">IF(ISERROR($V66),"",OFFSET('Smelter Look-up'!$D$4,$V66-4,0)&amp;"")</f>
        <v>GERMANY</v>
      </c>
      <c r="F66" s="217" t="str">
        <f ca="1">IF(ISERROR($V66),"",OFFSET('Smelter Look-up'!$E$4,$V66-4,0))</f>
        <v>CID000176</v>
      </c>
      <c r="G66" s="217" t="str">
        <f ca="1">IF(C66=$X$4,"Enter smelter details",IF(ISERROR($V66),"",OFFSET('Smelter Look-up'!$F$4,$V66-4,0)))</f>
        <v>RMI</v>
      </c>
      <c r="H66" s="218">
        <f ca="1">IF(ISERROR($V66),"",OFFSET('Smelter Look-up'!$G$4,$V66-4,0))</f>
        <v>0</v>
      </c>
      <c r="I66" s="219" t="str">
        <f ca="1">IF(ISERROR($V66),"",OFFSET('Smelter Look-up'!$H$4,$V66-4,0))</f>
        <v>Pforzheim</v>
      </c>
      <c r="J66" s="219" t="str">
        <f ca="1">IF(ISERROR($V66),"",OFFSET('Smelter Look-up'!$I$4,$V66-4,0))</f>
        <v>Baden-Württemberg</v>
      </c>
      <c r="K66" s="273"/>
      <c r="L66" s="273"/>
      <c r="M66" s="273"/>
      <c r="N66" s="273"/>
      <c r="O66" s="273"/>
      <c r="P66" s="220"/>
      <c r="Q66" s="274"/>
      <c r="R66" s="217" t="str">
        <f ca="1">IF(ISERROR($V66),"",OFFSET('Smelter Look-up'!$C$4,$V66-4,0)&amp;"")</f>
        <v>C. Hafner GmbH + Co. KG</v>
      </c>
      <c r="S66" s="225" t="str">
        <f t="shared" ca="1" si="6"/>
        <v>DE</v>
      </c>
      <c r="T66" s="225" t="str">
        <f ca="1">IF(B66="","",IF(ISERROR(MATCH($J66,SorP!$B$1:$B$6230,0)),"",INDIRECT("'SorP'!$A$"&amp;MATCH($J66,SorP!$B$1:$B$6230,0))))</f>
        <v>DE-BW</v>
      </c>
      <c r="U66" s="241"/>
      <c r="V66" s="275">
        <f ca="1">IF(C66="",NA(),MATCH($B66&amp;$C66,'Smelter Look-up'!$J:$J,0))</f>
        <v>38</v>
      </c>
      <c r="W66" s="276"/>
      <c r="X66" s="276">
        <f t="shared" ca="1" si="7"/>
        <v>0</v>
      </c>
      <c r="Y66" s="276"/>
      <c r="Z66" s="276"/>
      <c r="AB66" s="278" t="str">
        <f t="shared" ca="1" si="8"/>
        <v>GoldC. Hafner GmbH + Co. KG</v>
      </c>
    </row>
    <row r="67" spans="1:28" s="277" customFormat="1" ht="20.25">
      <c r="A67" s="450" t="s">
        <v>680</v>
      </c>
      <c r="B67" s="217" t="str">
        <f ca="1">IF(LEN(A67)=0,"",INDEX('Smelter Look-up'!$A:$A,MATCH($A67,'Smelter Look-up'!$E:$E,0)))</f>
        <v>Gold</v>
      </c>
      <c r="C67" s="221" t="str">
        <f ca="1">IF(LEN(A67)=0,"",INDEX('Smelter Look-up'!$C:$C,MATCH($A67,'Smelter Look-up'!$E:$E,0)))</f>
        <v>CCR Refinery - Glencore Canada Corporation</v>
      </c>
      <c r="D67" s="283"/>
      <c r="E67" s="217" t="str">
        <f ca="1">IF(ISERROR($V67),"",OFFSET('Smelter Look-up'!$D$4,$V67-4,0)&amp;"")</f>
        <v>CANADA</v>
      </c>
      <c r="F67" s="217" t="str">
        <f ca="1">IF(ISERROR($V67),"",OFFSET('Smelter Look-up'!$E$4,$V67-4,0))</f>
        <v>CID000185</v>
      </c>
      <c r="G67" s="217" t="str">
        <f ca="1">IF(C67=$X$4,"Enter smelter details",IF(ISERROR($V67),"",OFFSET('Smelter Look-up'!$F$4,$V67-4,0)))</f>
        <v>RMI</v>
      </c>
      <c r="H67" s="218">
        <f ca="1">IF(ISERROR($V67),"",OFFSET('Smelter Look-up'!$G$4,$V67-4,0))</f>
        <v>0</v>
      </c>
      <c r="I67" s="219" t="str">
        <f ca="1">IF(ISERROR($V67),"",OFFSET('Smelter Look-up'!$H$4,$V67-4,0))</f>
        <v>Montréal</v>
      </c>
      <c r="J67" s="219" t="str">
        <f ca="1">IF(ISERROR($V67),"",OFFSET('Smelter Look-up'!$I$4,$V67-4,0))</f>
        <v>Quebec</v>
      </c>
      <c r="K67" s="273"/>
      <c r="L67" s="273"/>
      <c r="M67" s="273"/>
      <c r="N67" s="273"/>
      <c r="O67" s="273"/>
      <c r="P67" s="220"/>
      <c r="Q67" s="274"/>
      <c r="R67" s="217" t="str">
        <f ca="1">IF(ISERROR($V67),"",OFFSET('Smelter Look-up'!$C$4,$V67-4,0)&amp;"")</f>
        <v>CCR Refinery - Glencore Canada Corporation</v>
      </c>
      <c r="S67" s="225" t="str">
        <f t="shared" ca="1" si="6"/>
        <v>CA</v>
      </c>
      <c r="T67" s="225" t="str">
        <f ca="1">IF(B67="","",IF(ISERROR(MATCH($J67,SorP!$B$1:$B$6230,0)),"",INDIRECT("'SorP'!$A$"&amp;MATCH($J67,SorP!$B$1:$B$6230,0))))</f>
        <v>CA-QC</v>
      </c>
      <c r="U67" s="241"/>
      <c r="V67" s="275">
        <f ca="1">IF(C67="",NA(),MATCH($B67&amp;$C67,'Smelter Look-up'!$J:$J,0))</f>
        <v>43</v>
      </c>
      <c r="W67" s="276"/>
      <c r="X67" s="276">
        <f t="shared" ca="1" si="7"/>
        <v>0</v>
      </c>
      <c r="Y67" s="276"/>
      <c r="Z67" s="276"/>
      <c r="AB67" s="278" t="str">
        <f t="shared" ca="1" si="8"/>
        <v>GoldCCR Refinery - Glencore Canada Corporation</v>
      </c>
    </row>
    <row r="68" spans="1:28" s="277" customFormat="1" ht="20.25">
      <c r="A68" s="450" t="s">
        <v>681</v>
      </c>
      <c r="B68" s="217" t="str">
        <f ca="1">IF(LEN(A68)=0,"",INDEX('Smelter Look-up'!$A:$A,MATCH($A68,'Smelter Look-up'!$E:$E,0)))</f>
        <v>Gold</v>
      </c>
      <c r="C68" s="221" t="str">
        <f ca="1">IF(LEN(A68)=0,"",INDEX('Smelter Look-up'!$C:$C,MATCH($A68,'Smelter Look-up'!$E:$E,0)))</f>
        <v>Cendres + Metaux S.A.</v>
      </c>
      <c r="D68" s="283"/>
      <c r="E68" s="217" t="str">
        <f ca="1">IF(ISERROR($V68),"",OFFSET('Smelter Look-up'!$D$4,$V68-4,0)&amp;"")</f>
        <v>SWITZERLAND</v>
      </c>
      <c r="F68" s="217" t="str">
        <f ca="1">IF(ISERROR($V68),"",OFFSET('Smelter Look-up'!$E$4,$V68-4,0))</f>
        <v>CID000189</v>
      </c>
      <c r="G68" s="217" t="str">
        <f ca="1">IF(C68=$X$4,"Enter smelter details",IF(ISERROR($V68),"",OFFSET('Smelter Look-up'!$F$4,$V68-4,0)))</f>
        <v>RMI</v>
      </c>
      <c r="H68" s="218">
        <f ca="1">IF(ISERROR($V68),"",OFFSET('Smelter Look-up'!$G$4,$V68-4,0))</f>
        <v>0</v>
      </c>
      <c r="I68" s="219" t="str">
        <f ca="1">IF(ISERROR($V68),"",OFFSET('Smelter Look-up'!$H$4,$V68-4,0))</f>
        <v>Biel-Bienne</v>
      </c>
      <c r="J68" s="219" t="str">
        <f ca="1">IF(ISERROR($V68),"",OFFSET('Smelter Look-up'!$I$4,$V68-4,0))</f>
        <v>Bern</v>
      </c>
      <c r="K68" s="273"/>
      <c r="L68" s="273"/>
      <c r="M68" s="273"/>
      <c r="N68" s="273"/>
      <c r="O68" s="273"/>
      <c r="P68" s="220"/>
      <c r="Q68" s="274"/>
      <c r="R68" s="217" t="str">
        <f ca="1">IF(ISERROR($V68),"",OFFSET('Smelter Look-up'!$C$4,$V68-4,0)&amp;"")</f>
        <v>Cendres + Metaux S.A.</v>
      </c>
      <c r="S68" s="225" t="str">
        <f t="shared" ca="1" si="6"/>
        <v>CH</v>
      </c>
      <c r="T68" s="225" t="str">
        <f ca="1">IF(B68="","",IF(ISERROR(MATCH($J68,SorP!$B$1:$B$6230,0)),"",INDIRECT("'SorP'!$A$"&amp;MATCH($J68,SorP!$B$1:$B$6230,0))))</f>
        <v>CH-BE</v>
      </c>
      <c r="U68" s="241"/>
      <c r="V68" s="275">
        <f ca="1">IF(C68="",NA(),MATCH($B68&amp;$C68,'Smelter Look-up'!$J:$J,0))</f>
        <v>46</v>
      </c>
      <c r="W68" s="276"/>
      <c r="X68" s="276">
        <f t="shared" ca="1" si="7"/>
        <v>0</v>
      </c>
      <c r="Y68" s="276"/>
      <c r="Z68" s="276"/>
      <c r="AB68" s="278" t="str">
        <f t="shared" ca="1" si="8"/>
        <v>GoldCendres + Metaux S.A.</v>
      </c>
    </row>
    <row r="69" spans="1:28" s="277" customFormat="1" ht="20.25">
      <c r="A69" s="450" t="s">
        <v>682</v>
      </c>
      <c r="B69" s="217" t="str">
        <f ca="1">IF(LEN(A69)=0,"",INDEX('Smelter Look-up'!$A:$A,MATCH($A69,'Smelter Look-up'!$E:$E,0)))</f>
        <v>Gold</v>
      </c>
      <c r="C69" s="221" t="str">
        <f ca="1">IF(LEN(A69)=0,"",INDEX('Smelter Look-up'!$C:$C,MATCH($A69,'Smelter Look-up'!$E:$E,0)))</f>
        <v>Chimet S.p.A.</v>
      </c>
      <c r="D69" s="283"/>
      <c r="E69" s="217" t="str">
        <f ca="1">IF(ISERROR($V69),"",OFFSET('Smelter Look-up'!$D$4,$V69-4,0)&amp;"")</f>
        <v>ITALY</v>
      </c>
      <c r="F69" s="217" t="str">
        <f ca="1">IF(ISERROR($V69),"",OFFSET('Smelter Look-up'!$E$4,$V69-4,0))</f>
        <v>CID000233</v>
      </c>
      <c r="G69" s="217" t="str">
        <f ca="1">IF(C69=$X$4,"Enter smelter details",IF(ISERROR($V69),"",OFFSET('Smelter Look-up'!$F$4,$V69-4,0)))</f>
        <v>RMI</v>
      </c>
      <c r="H69" s="218">
        <f ca="1">IF(ISERROR($V69),"",OFFSET('Smelter Look-up'!$G$4,$V69-4,0))</f>
        <v>0</v>
      </c>
      <c r="I69" s="219" t="str">
        <f ca="1">IF(ISERROR($V69),"",OFFSET('Smelter Look-up'!$H$4,$V69-4,0))</f>
        <v>Arezzo</v>
      </c>
      <c r="J69" s="219" t="str">
        <f ca="1">IF(ISERROR($V69),"",OFFSET('Smelter Look-up'!$I$4,$V69-4,0))</f>
        <v>Toscana</v>
      </c>
      <c r="K69" s="273"/>
      <c r="L69" s="273"/>
      <c r="M69" s="273"/>
      <c r="N69" s="273"/>
      <c r="O69" s="273"/>
      <c r="P69" s="220"/>
      <c r="Q69" s="274"/>
      <c r="R69" s="217" t="str">
        <f ca="1">IF(ISERROR($V69),"",OFFSET('Smelter Look-up'!$C$4,$V69-4,0)&amp;"")</f>
        <v>Chimet S.p.A.</v>
      </c>
      <c r="S69" s="225" t="str">
        <f t="shared" ref="S69" ca="1" si="9">IF(B69="","",IF(ISERROR(MATCH($E69,CL,0)),"Unknown",INDIRECT("'C'!$A$"&amp;MATCH($E69,CL,0)+1)))</f>
        <v>IT</v>
      </c>
      <c r="T69" s="225" t="str">
        <f ca="1">IF(B69="","",IF(ISERROR(MATCH($J69,SorP!$B$1:$B$6230,0)),"",INDIRECT("'SorP'!$A$"&amp;MATCH($J69,SorP!$B$1:$B$6230,0))))</f>
        <v>IT-52</v>
      </c>
      <c r="U69" s="241"/>
      <c r="V69" s="275">
        <f ca="1">IF(C69="",NA(),MATCH($B69&amp;$C69,'Smelter Look-up'!$J:$J,0))</f>
        <v>51</v>
      </c>
      <c r="W69" s="276"/>
      <c r="X69" s="276">
        <f t="shared" ref="X69" ca="1" si="10">IF(AND(C69="Smelter not listed",OR(LEN(D69)=0,LEN(E69)=0)),1,0)</f>
        <v>0</v>
      </c>
      <c r="Y69" s="276"/>
      <c r="Z69" s="276"/>
      <c r="AB69" s="278" t="str">
        <f t="shared" ref="AB69" ca="1" si="11">B69&amp;C69</f>
        <v>GoldChimet S.p.A.</v>
      </c>
    </row>
    <row r="70" spans="1:28" s="277" customFormat="1" ht="20.25">
      <c r="A70" s="450" t="s">
        <v>683</v>
      </c>
      <c r="B70" s="217" t="str">
        <f ca="1">IF(LEN(A70)=0,"",INDEX('Smelter Look-up'!$A:$A,MATCH($A70,'Smelter Look-up'!$E:$E,0)))</f>
        <v>Gold</v>
      </c>
      <c r="C70" s="221" t="str">
        <f ca="1">IF(LEN(A70)=0,"",INDEX('Smelter Look-up'!$C:$C,MATCH($A70,'Smelter Look-up'!$E:$E,0)))</f>
        <v>Chugai Mining</v>
      </c>
      <c r="D70" s="283"/>
      <c r="E70" s="217" t="str">
        <f ca="1">IF(ISERROR($V70),"",OFFSET('Smelter Look-up'!$D$4,$V70-4,0)&amp;"")</f>
        <v>JAPAN</v>
      </c>
      <c r="F70" s="217" t="str">
        <f ca="1">IF(ISERROR($V70),"",OFFSET('Smelter Look-up'!$E$4,$V70-4,0))</f>
        <v>CID000264</v>
      </c>
      <c r="G70" s="217" t="str">
        <f ca="1">IF(C70=$X$4,"Enter smelter details",IF(ISERROR($V70),"",OFFSET('Smelter Look-up'!$F$4,$V70-4,0)))</f>
        <v>RMI</v>
      </c>
      <c r="H70" s="218">
        <f ca="1">IF(ISERROR($V70),"",OFFSET('Smelter Look-up'!$G$4,$V70-4,0))</f>
        <v>0</v>
      </c>
      <c r="I70" s="219" t="str">
        <f ca="1">IF(ISERROR($V70),"",OFFSET('Smelter Look-up'!$H$4,$V70-4,0))</f>
        <v>Chiyoda</v>
      </c>
      <c r="J70" s="219" t="str">
        <f ca="1">IF(ISERROR($V70),"",OFFSET('Smelter Look-up'!$I$4,$V70-4,0))</f>
        <v>Tokyo</v>
      </c>
      <c r="K70" s="273"/>
      <c r="L70" s="273"/>
      <c r="M70" s="273"/>
      <c r="N70" s="273"/>
      <c r="O70" s="273"/>
      <c r="P70" s="220"/>
      <c r="Q70" s="274"/>
      <c r="R70" s="217" t="str">
        <f ca="1">IF(ISERROR($V70),"",OFFSET('Smelter Look-up'!$C$4,$V70-4,0)&amp;"")</f>
        <v>Chugai Mining</v>
      </c>
      <c r="S70" s="225" t="str">
        <f t="shared" ref="S70:S101" ca="1" si="12">IF(B70="","",IF(ISERROR(MATCH($E70,CL,0)),"Unknown",INDIRECT("'C'!$A$"&amp;MATCH($E70,CL,0)+1)))</f>
        <v>JP</v>
      </c>
      <c r="T70" s="225" t="str">
        <f ca="1">IF(B70="","",IF(ISERROR(MATCH($J70,SorP!$B$1:$B$6230,0)),"",INDIRECT("'SorP'!$A$"&amp;MATCH($J70,SorP!$B$1:$B$6230,0))))</f>
        <v>JP-13</v>
      </c>
      <c r="U70" s="241"/>
      <c r="V70" s="275">
        <f ca="1">IF(C70="",NA(),MATCH($B70&amp;$C70,'Smelter Look-up'!$J:$J,0))</f>
        <v>54</v>
      </c>
      <c r="W70" s="276"/>
      <c r="X70" s="276">
        <f t="shared" ref="X70:X101" ca="1" si="13">IF(AND(C70="Smelter not listed",OR(LEN(D70)=0,LEN(E70)=0)),1,0)</f>
        <v>0</v>
      </c>
      <c r="Y70" s="276"/>
      <c r="Z70" s="276"/>
      <c r="AB70" s="278" t="str">
        <f t="shared" ref="AB70:AB101" ca="1" si="14">B70&amp;C70</f>
        <v>GoldChugai Mining</v>
      </c>
    </row>
    <row r="71" spans="1:28" s="277" customFormat="1" ht="20.25">
      <c r="A71" s="450" t="s">
        <v>688</v>
      </c>
      <c r="B71" s="217" t="str">
        <f ca="1">IF(LEN(A71)=0,"",INDEX('Smelter Look-up'!$A:$A,MATCH($A71,'Smelter Look-up'!$E:$E,0)))</f>
        <v>Gold</v>
      </c>
      <c r="C71" s="221" t="str">
        <f ca="1">IF(LEN(A71)=0,"",INDEX('Smelter Look-up'!$C:$C,MATCH($A71,'Smelter Look-up'!$E:$E,0)))</f>
        <v>DODUCO Contacts and Refining GmbH</v>
      </c>
      <c r="D71" s="283"/>
      <c r="E71" s="217" t="str">
        <f ca="1">IF(ISERROR($V71),"",OFFSET('Smelter Look-up'!$D$4,$V71-4,0)&amp;"")</f>
        <v>GERMANY</v>
      </c>
      <c r="F71" s="217" t="str">
        <f ca="1">IF(ISERROR($V71),"",OFFSET('Smelter Look-up'!$E$4,$V71-4,0))</f>
        <v>CID000362</v>
      </c>
      <c r="G71" s="217" t="str">
        <f ca="1">IF(C71=$X$4,"Enter smelter details",IF(ISERROR($V71),"",OFFSET('Smelter Look-up'!$F$4,$V71-4,0)))</f>
        <v>RMI</v>
      </c>
      <c r="H71" s="218">
        <f ca="1">IF(ISERROR($V71),"",OFFSET('Smelter Look-up'!$G$4,$V71-4,0))</f>
        <v>0</v>
      </c>
      <c r="I71" s="219" t="str">
        <f ca="1">IF(ISERROR($V71),"",OFFSET('Smelter Look-up'!$H$4,$V71-4,0))</f>
        <v>Pforzheim</v>
      </c>
      <c r="J71" s="219" t="str">
        <f ca="1">IF(ISERROR($V71),"",OFFSET('Smelter Look-up'!$I$4,$V71-4,0))</f>
        <v>Baden-Württemberg</v>
      </c>
      <c r="K71" s="273"/>
      <c r="L71" s="273"/>
      <c r="M71" s="273"/>
      <c r="N71" s="273"/>
      <c r="O71" s="273"/>
      <c r="P71" s="220"/>
      <c r="Q71" s="274"/>
      <c r="R71" s="217" t="str">
        <f ca="1">IF(ISERROR($V71),"",OFFSET('Smelter Look-up'!$C$4,$V71-4,0)&amp;"")</f>
        <v>DODUCO Contacts and Refining GmbH</v>
      </c>
      <c r="S71" s="225" t="str">
        <f t="shared" ca="1" si="12"/>
        <v>DE</v>
      </c>
      <c r="T71" s="225" t="str">
        <f ca="1">IF(B71="","",IF(ISERROR(MATCH($J71,SorP!$B$1:$B$6230,0)),"",INDIRECT("'SorP'!$A$"&amp;MATCH($J71,SorP!$B$1:$B$6230,0))))</f>
        <v>DE-BW</v>
      </c>
      <c r="U71" s="241"/>
      <c r="V71" s="275">
        <f ca="1">IF(C71="",NA(),MATCH($B71&amp;$C71,'Smelter Look-up'!$J:$J,0))</f>
        <v>61</v>
      </c>
      <c r="W71" s="276"/>
      <c r="X71" s="276">
        <f t="shared" ca="1" si="13"/>
        <v>0</v>
      </c>
      <c r="Y71" s="276"/>
      <c r="Z71" s="276"/>
      <c r="AB71" s="278" t="str">
        <f t="shared" ca="1" si="14"/>
        <v>GoldDODUCO Contacts and Refining GmbH</v>
      </c>
    </row>
    <row r="72" spans="1:28" s="277" customFormat="1" ht="20.25">
      <c r="A72" s="450" t="s">
        <v>689</v>
      </c>
      <c r="B72" s="217" t="str">
        <f ca="1">IF(LEN(A72)=0,"",INDEX('Smelter Look-up'!$A:$A,MATCH($A72,'Smelter Look-up'!$E:$E,0)))</f>
        <v>Gold</v>
      </c>
      <c r="C72" s="221" t="str">
        <f ca="1">IF(LEN(A72)=0,"",INDEX('Smelter Look-up'!$C:$C,MATCH($A72,'Smelter Look-up'!$E:$E,0)))</f>
        <v>Dowa</v>
      </c>
      <c r="D72" s="283"/>
      <c r="E72" s="217" t="str">
        <f ca="1">IF(ISERROR($V72),"",OFFSET('Smelter Look-up'!$D$4,$V72-4,0)&amp;"")</f>
        <v>JAPAN</v>
      </c>
      <c r="F72" s="217" t="str">
        <f ca="1">IF(ISERROR($V72),"",OFFSET('Smelter Look-up'!$E$4,$V72-4,0))</f>
        <v>CID000401</v>
      </c>
      <c r="G72" s="217" t="str">
        <f ca="1">IF(C72=$X$4,"Enter smelter details",IF(ISERROR($V72),"",OFFSET('Smelter Look-up'!$F$4,$V72-4,0)))</f>
        <v>RMI</v>
      </c>
      <c r="H72" s="218">
        <f ca="1">IF(ISERROR($V72),"",OFFSET('Smelter Look-up'!$G$4,$V72-4,0))</f>
        <v>0</v>
      </c>
      <c r="I72" s="219" t="str">
        <f ca="1">IF(ISERROR($V72),"",OFFSET('Smelter Look-up'!$H$4,$V72-4,0))</f>
        <v>Kosaka</v>
      </c>
      <c r="J72" s="219" t="str">
        <f ca="1">IF(ISERROR($V72),"",OFFSET('Smelter Look-up'!$I$4,$V72-4,0))</f>
        <v>Akita</v>
      </c>
      <c r="K72" s="273"/>
      <c r="L72" s="273"/>
      <c r="M72" s="273"/>
      <c r="N72" s="273"/>
      <c r="O72" s="273"/>
      <c r="P72" s="220"/>
      <c r="Q72" s="274"/>
      <c r="R72" s="217" t="str">
        <f ca="1">IF(ISERROR($V72),"",OFFSET('Smelter Look-up'!$C$4,$V72-4,0)&amp;"")</f>
        <v>Dowa</v>
      </c>
      <c r="S72" s="225" t="str">
        <f t="shared" ca="1" si="12"/>
        <v>JP</v>
      </c>
      <c r="T72" s="225" t="str">
        <f ca="1">IF(B72="","",IF(ISERROR(MATCH($J72,SorP!$B$1:$B$6230,0)),"",INDIRECT("'SorP'!$A$"&amp;MATCH($J72,SorP!$B$1:$B$6230,0))))</f>
        <v>JP-05</v>
      </c>
      <c r="U72" s="241"/>
      <c r="V72" s="275">
        <f ca="1">IF(C72="",NA(),MATCH($B72&amp;$C72,'Smelter Look-up'!$J:$J,0))</f>
        <v>63</v>
      </c>
      <c r="W72" s="276"/>
      <c r="X72" s="276">
        <f t="shared" ca="1" si="13"/>
        <v>0</v>
      </c>
      <c r="Y72" s="276"/>
      <c r="Z72" s="276"/>
      <c r="AB72" s="278" t="str">
        <f t="shared" ca="1" si="14"/>
        <v>GoldDowa</v>
      </c>
    </row>
    <row r="73" spans="1:28" s="277" customFormat="1" ht="20.25">
      <c r="A73" s="450" t="s">
        <v>13253</v>
      </c>
      <c r="B73" s="217" t="str">
        <f ca="1">IF(LEN(A73)=0,"",INDEX('Smelter Look-up'!$A:$A,MATCH($A73,'Smelter Look-up'!$E:$E,0)))</f>
        <v>Gold</v>
      </c>
      <c r="C73" s="221" t="str">
        <f ca="1">IF(LEN(A73)=0,"",INDEX('Smelter Look-up'!$C:$C,MATCH($A73,'Smelter Look-up'!$E:$E,0)))</f>
        <v>DS PRETECH Co., Ltd.</v>
      </c>
      <c r="D73" s="283"/>
      <c r="E73" s="217" t="str">
        <f ca="1">IF(ISERROR($V73),"",OFFSET('Smelter Look-up'!$D$4,$V73-4,0)&amp;"")</f>
        <v>KOREA, REPUBLIC OF</v>
      </c>
      <c r="F73" s="217" t="str">
        <f ca="1">IF(ISERROR($V73),"",OFFSET('Smelter Look-up'!$E$4,$V73-4,0))</f>
        <v>CID003195</v>
      </c>
      <c r="G73" s="217" t="str">
        <f ca="1">IF(C73=$X$4,"Enter smelter details",IF(ISERROR($V73),"",OFFSET('Smelter Look-up'!$F$4,$V73-4,0)))</f>
        <v>RMI</v>
      </c>
      <c r="H73" s="218">
        <f ca="1">IF(ISERROR($V73),"",OFFSET('Smelter Look-up'!$G$4,$V73-4,0))</f>
        <v>0</v>
      </c>
      <c r="I73" s="219" t="str">
        <f ca="1">IF(ISERROR($V73),"",OFFSET('Smelter Look-up'!$H$4,$V73-4,0))</f>
        <v>Chopyeong-myeon</v>
      </c>
      <c r="J73" s="219" t="str">
        <f ca="1">IF(ISERROR($V73),"",OFFSET('Smelter Look-up'!$I$4,$V73-4,0))</f>
        <v>Chungcheongbuk-do</v>
      </c>
      <c r="K73" s="273"/>
      <c r="L73" s="273"/>
      <c r="M73" s="273"/>
      <c r="N73" s="273"/>
      <c r="O73" s="273"/>
      <c r="P73" s="220"/>
      <c r="Q73" s="274"/>
      <c r="R73" s="217" t="str">
        <f ca="1">IF(ISERROR($V73),"",OFFSET('Smelter Look-up'!$C$4,$V73-4,0)&amp;"")</f>
        <v>DS PRETECH Co., Ltd.</v>
      </c>
      <c r="S73" s="225" t="str">
        <f t="shared" ca="1" si="12"/>
        <v>KR</v>
      </c>
      <c r="T73" s="225" t="str">
        <f ca="1">IF(B73="","",IF(ISERROR(MATCH($J73,SorP!$B$1:$B$6230,0)),"",INDIRECT("'SorP'!$A$"&amp;MATCH($J73,SorP!$B$1:$B$6230,0))))</f>
        <v>KR-43</v>
      </c>
      <c r="U73" s="241"/>
      <c r="V73" s="275">
        <f ca="1">IF(C73="",NA(),MATCH($B73&amp;$C73,'Smelter Look-up'!$J:$J,0))</f>
        <v>67</v>
      </c>
      <c r="W73" s="276"/>
      <c r="X73" s="276">
        <f t="shared" ca="1" si="13"/>
        <v>0</v>
      </c>
      <c r="Y73" s="276"/>
      <c r="Z73" s="276"/>
      <c r="AB73" s="278" t="str">
        <f t="shared" ca="1" si="14"/>
        <v>GoldDS PRETECH Co., Ltd.</v>
      </c>
    </row>
    <row r="74" spans="1:28" s="277" customFormat="1" ht="20.25">
      <c r="A74" s="450" t="s">
        <v>686</v>
      </c>
      <c r="B74" s="217" t="str">
        <f ca="1">IF(LEN(A74)=0,"",INDEX('Smelter Look-up'!$A:$A,MATCH($A74,'Smelter Look-up'!$E:$E,0)))</f>
        <v>Gold</v>
      </c>
      <c r="C74" s="221" t="str">
        <f ca="1">IF(LEN(A74)=0,"",INDEX('Smelter Look-up'!$C:$C,MATCH($A74,'Smelter Look-up'!$E:$E,0)))</f>
        <v>DSC (Do Sung Corporation)</v>
      </c>
      <c r="D74" s="283"/>
      <c r="E74" s="217" t="str">
        <f ca="1">IF(ISERROR($V74),"",OFFSET('Smelter Look-up'!$D$4,$V74-4,0)&amp;"")</f>
        <v>KOREA, REPUBLIC OF</v>
      </c>
      <c r="F74" s="217" t="str">
        <f ca="1">IF(ISERROR($V74),"",OFFSET('Smelter Look-up'!$E$4,$V74-4,0))</f>
        <v>CID000359</v>
      </c>
      <c r="G74" s="217" t="str">
        <f ca="1">IF(C74=$X$4,"Enter smelter details",IF(ISERROR($V74),"",OFFSET('Smelter Look-up'!$F$4,$V74-4,0)))</f>
        <v>RMI</v>
      </c>
      <c r="H74" s="218">
        <f ca="1">IF(ISERROR($V74),"",OFFSET('Smelter Look-up'!$G$4,$V74-4,0))</f>
        <v>0</v>
      </c>
      <c r="I74" s="219" t="str">
        <f ca="1">IF(ISERROR($V74),"",OFFSET('Smelter Look-up'!$H$4,$V74-4,0))</f>
        <v>Gimpo</v>
      </c>
      <c r="J74" s="219" t="str">
        <f ca="1">IF(ISERROR($V74),"",OFFSET('Smelter Look-up'!$I$4,$V74-4,0))</f>
        <v>Gyeonggi-do</v>
      </c>
      <c r="K74" s="273"/>
      <c r="L74" s="273"/>
      <c r="M74" s="273"/>
      <c r="N74" s="273"/>
      <c r="O74" s="273"/>
      <c r="P74" s="220"/>
      <c r="Q74" s="274"/>
      <c r="R74" s="217" t="str">
        <f ca="1">IF(ISERROR($V74),"",OFFSET('Smelter Look-up'!$C$4,$V74-4,0)&amp;"")</f>
        <v>DSC (Do Sung Corporation)</v>
      </c>
      <c r="S74" s="225" t="str">
        <f t="shared" ca="1" si="12"/>
        <v>KR</v>
      </c>
      <c r="T74" s="225" t="str">
        <f ca="1">IF(B74="","",IF(ISERROR(MATCH($J74,SorP!$B$1:$B$6230,0)),"",INDIRECT("'SorP'!$A$"&amp;MATCH($J74,SorP!$B$1:$B$6230,0))))</f>
        <v>KR-41</v>
      </c>
      <c r="U74" s="241"/>
      <c r="V74" s="275">
        <f ca="1">IF(C74="",NA(),MATCH($B74&amp;$C74,'Smelter Look-up'!$J:$J,0))</f>
        <v>68</v>
      </c>
      <c r="W74" s="276"/>
      <c r="X74" s="276">
        <f t="shared" ca="1" si="13"/>
        <v>0</v>
      </c>
      <c r="Y74" s="276"/>
      <c r="Z74" s="276"/>
      <c r="AB74" s="278" t="str">
        <f t="shared" ca="1" si="14"/>
        <v>GoldDSC (Do Sung Corporation)</v>
      </c>
    </row>
    <row r="75" spans="1:28" s="277" customFormat="1" ht="20.25">
      <c r="A75" s="450" t="s">
        <v>407</v>
      </c>
      <c r="B75" s="217" t="str">
        <f ca="1">IF(LEN(A75)=0,"",INDEX('Smelter Look-up'!$A:$A,MATCH($A75,'Smelter Look-up'!$E:$E,0)))</f>
        <v>Gold</v>
      </c>
      <c r="C75" s="221" t="str">
        <f ca="1">IF(LEN(A75)=0,"",INDEX('Smelter Look-up'!$C:$C,MATCH($A75,'Smelter Look-up'!$E:$E,0)))</f>
        <v>Eco-System Recycling Co., Ltd. East Plant</v>
      </c>
      <c r="D75" s="283"/>
      <c r="E75" s="217" t="str">
        <f ca="1">IF(ISERROR($V75),"",OFFSET('Smelter Look-up'!$D$4,$V75-4,0)&amp;"")</f>
        <v>JAPAN</v>
      </c>
      <c r="F75" s="217" t="str">
        <f ca="1">IF(ISERROR($V75),"",OFFSET('Smelter Look-up'!$E$4,$V75-4,0))</f>
        <v>CID000425</v>
      </c>
      <c r="G75" s="217" t="str">
        <f ca="1">IF(C75=$X$4,"Enter smelter details",IF(ISERROR($V75),"",OFFSET('Smelter Look-up'!$F$4,$V75-4,0)))</f>
        <v>RMI</v>
      </c>
      <c r="H75" s="218">
        <f ca="1">IF(ISERROR($V75),"",OFFSET('Smelter Look-up'!$G$4,$V75-4,0))</f>
        <v>0</v>
      </c>
      <c r="I75" s="219" t="str">
        <f ca="1">IF(ISERROR($V75),"",OFFSET('Smelter Look-up'!$H$4,$V75-4,0))</f>
        <v>Honjo</v>
      </c>
      <c r="J75" s="219" t="str">
        <f ca="1">IF(ISERROR($V75),"",OFFSET('Smelter Look-up'!$I$4,$V75-4,0))</f>
        <v>Saitama</v>
      </c>
      <c r="K75" s="273"/>
      <c r="L75" s="273"/>
      <c r="M75" s="273"/>
      <c r="N75" s="273"/>
      <c r="O75" s="273"/>
      <c r="P75" s="220"/>
      <c r="Q75" s="274"/>
      <c r="R75" s="217" t="str">
        <f ca="1">IF(ISERROR($V75),"",OFFSET('Smelter Look-up'!$C$4,$V75-4,0)&amp;"")</f>
        <v>Eco-System Recycling Co., Ltd. East Plant</v>
      </c>
      <c r="S75" s="225" t="str">
        <f t="shared" ca="1" si="12"/>
        <v>JP</v>
      </c>
      <c r="T75" s="225" t="str">
        <f ca="1">IF(B75="","",IF(ISERROR(MATCH($J75,SorP!$B$1:$B$6230,0)),"",INDIRECT("'SorP'!$A$"&amp;MATCH($J75,SorP!$B$1:$B$6230,0))))</f>
        <v>JP-11</v>
      </c>
      <c r="U75" s="241"/>
      <c r="V75" s="275">
        <f ca="1">IF(C75="",NA(),MATCH($B75&amp;$C75,'Smelter Look-up'!$J:$J,0))</f>
        <v>69</v>
      </c>
      <c r="W75" s="276"/>
      <c r="X75" s="276">
        <f t="shared" ca="1" si="13"/>
        <v>0</v>
      </c>
      <c r="Y75" s="276"/>
      <c r="Z75" s="276"/>
      <c r="AB75" s="278" t="str">
        <f t="shared" ca="1" si="14"/>
        <v>GoldEco-System Recycling Co., Ltd. East Plant</v>
      </c>
    </row>
    <row r="76" spans="1:28" s="277" customFormat="1" ht="20.25">
      <c r="A76" s="450" t="s">
        <v>1741</v>
      </c>
      <c r="B76" s="217" t="str">
        <f ca="1">IF(LEN(A76)=0,"",INDEX('Smelter Look-up'!$A:$A,MATCH($A76,'Smelter Look-up'!$E:$E,0)))</f>
        <v>Gold</v>
      </c>
      <c r="C76" s="221" t="str">
        <f ca="1">IF(LEN(A76)=0,"",INDEX('Smelter Look-up'!$C:$C,MATCH($A76,'Smelter Look-up'!$E:$E,0)))</f>
        <v>Emirates Gold DMCC</v>
      </c>
      <c r="D76" s="283"/>
      <c r="E76" s="217" t="str">
        <f ca="1">IF(ISERROR($V76),"",OFFSET('Smelter Look-up'!$D$4,$V76-4,0)&amp;"")</f>
        <v>UNITED ARAB EMIRATES</v>
      </c>
      <c r="F76" s="217" t="str">
        <f ca="1">IF(ISERROR($V76),"",OFFSET('Smelter Look-up'!$E$4,$V76-4,0))</f>
        <v>CID002561</v>
      </c>
      <c r="G76" s="217" t="str">
        <f ca="1">IF(C76=$X$4,"Enter smelter details",IF(ISERROR($V76),"",OFFSET('Smelter Look-up'!$F$4,$V76-4,0)))</f>
        <v>RMI</v>
      </c>
      <c r="H76" s="218">
        <f ca="1">IF(ISERROR($V76),"",OFFSET('Smelter Look-up'!$G$4,$V76-4,0))</f>
        <v>0</v>
      </c>
      <c r="I76" s="219" t="str">
        <f ca="1">IF(ISERROR($V76),"",OFFSET('Smelter Look-up'!$H$4,$V76-4,0))</f>
        <v>Dubai</v>
      </c>
      <c r="J76" s="219" t="str">
        <f ca="1">IF(ISERROR($V76),"",OFFSET('Smelter Look-up'!$I$4,$V76-4,0))</f>
        <v>Dubayy</v>
      </c>
      <c r="K76" s="273"/>
      <c r="L76" s="273"/>
      <c r="M76" s="273"/>
      <c r="N76" s="273"/>
      <c r="O76" s="273"/>
      <c r="P76" s="220"/>
      <c r="Q76" s="274"/>
      <c r="R76" s="217" t="str">
        <f ca="1">IF(ISERROR($V76),"",OFFSET('Smelter Look-up'!$C$4,$V76-4,0)&amp;"")</f>
        <v>Emirates Gold DMCC</v>
      </c>
      <c r="S76" s="225" t="str">
        <f t="shared" ca="1" si="12"/>
        <v>AE</v>
      </c>
      <c r="T76" s="225" t="str">
        <f ca="1">IF(B76="","",IF(ISERROR(MATCH($J76,SorP!$B$1:$B$6230,0)),"",INDIRECT("'SorP'!$A$"&amp;MATCH($J76,SorP!$B$1:$B$6230,0))))</f>
        <v>AE-DU</v>
      </c>
      <c r="U76" s="241"/>
      <c r="V76" s="275">
        <f ca="1">IF(C76="",NA(),MATCH($B76&amp;$C76,'Smelter Look-up'!$J:$J,0))</f>
        <v>73</v>
      </c>
      <c r="W76" s="276"/>
      <c r="X76" s="276">
        <f t="shared" ca="1" si="13"/>
        <v>0</v>
      </c>
      <c r="Y76" s="276"/>
      <c r="Z76" s="276"/>
      <c r="AB76" s="278" t="str">
        <f t="shared" ca="1" si="14"/>
        <v>GoldEmirates Gold DMCC</v>
      </c>
    </row>
    <row r="77" spans="1:28" s="277" customFormat="1" ht="20.25">
      <c r="A77" s="450" t="s">
        <v>1728</v>
      </c>
      <c r="B77" s="217" t="str">
        <f ca="1">IF(LEN(A77)=0,"",INDEX('Smelter Look-up'!$A:$A,MATCH($A77,'Smelter Look-up'!$E:$E,0)))</f>
        <v>Gold</v>
      </c>
      <c r="C77" s="221" t="str">
        <f ca="1">IF(LEN(A77)=0,"",INDEX('Smelter Look-up'!$C:$C,MATCH($A77,'Smelter Look-up'!$E:$E,0)))</f>
        <v>Geib Refining Corporation</v>
      </c>
      <c r="D77" s="283"/>
      <c r="E77" s="217" t="str">
        <f ca="1">IF(ISERROR($V77),"",OFFSET('Smelter Look-up'!$D$4,$V77-4,0)&amp;"")</f>
        <v>UNITED STATES OF AMERICA</v>
      </c>
      <c r="F77" s="217" t="str">
        <f ca="1">IF(ISERROR($V77),"",OFFSET('Smelter Look-up'!$E$4,$V77-4,0))</f>
        <v>CID002459</v>
      </c>
      <c r="G77" s="217" t="str">
        <f ca="1">IF(C77=$X$4,"Enter smelter details",IF(ISERROR($V77),"",OFFSET('Smelter Look-up'!$F$4,$V77-4,0)))</f>
        <v>RMI</v>
      </c>
      <c r="H77" s="218">
        <f ca="1">IF(ISERROR($V77),"",OFFSET('Smelter Look-up'!$G$4,$V77-4,0))</f>
        <v>0</v>
      </c>
      <c r="I77" s="219" t="str">
        <f ca="1">IF(ISERROR($V77),"",OFFSET('Smelter Look-up'!$H$4,$V77-4,0))</f>
        <v>Warwick</v>
      </c>
      <c r="J77" s="219" t="str">
        <f ca="1">IF(ISERROR($V77),"",OFFSET('Smelter Look-up'!$I$4,$V77-4,0))</f>
        <v>Rhode Island</v>
      </c>
      <c r="K77" s="273"/>
      <c r="L77" s="273"/>
      <c r="M77" s="273"/>
      <c r="N77" s="273"/>
      <c r="O77" s="273"/>
      <c r="P77" s="220"/>
      <c r="Q77" s="274"/>
      <c r="R77" s="217" t="str">
        <f ca="1">IF(ISERROR($V77),"",OFFSET('Smelter Look-up'!$C$4,$V77-4,0)&amp;"")</f>
        <v>Geib Refining Corporation</v>
      </c>
      <c r="S77" s="225" t="str">
        <f t="shared" ca="1" si="12"/>
        <v>US</v>
      </c>
      <c r="T77" s="225" t="str">
        <f ca="1">IF(B77="","",IF(ISERROR(MATCH($J77,SorP!$B$1:$B$6230,0)),"",INDIRECT("'SorP'!$A$"&amp;MATCH($J77,SorP!$B$1:$B$6230,0))))</f>
        <v>US-RI</v>
      </c>
      <c r="U77" s="241"/>
      <c r="V77" s="275">
        <f ca="1">IF(C77="",NA(),MATCH($B77&amp;$C77,'Smelter Look-up'!$J:$J,0))</f>
        <v>80</v>
      </c>
      <c r="W77" s="276"/>
      <c r="X77" s="276">
        <f t="shared" ca="1" si="13"/>
        <v>0</v>
      </c>
      <c r="Y77" s="276"/>
      <c r="Z77" s="276"/>
      <c r="AB77" s="278" t="str">
        <f t="shared" ca="1" si="14"/>
        <v>GoldGeib Refining Corporation</v>
      </c>
    </row>
    <row r="78" spans="1:28" s="277" customFormat="1" ht="20.25">
      <c r="A78" s="450" t="s">
        <v>763</v>
      </c>
      <c r="B78" s="217" t="str">
        <f ca="1">IF(LEN(A78)=0,"",INDEX('Smelter Look-up'!$A:$A,MATCH($A78,'Smelter Look-up'!$E:$E,0)))</f>
        <v>Gold</v>
      </c>
      <c r="C78" s="221" t="str">
        <f ca="1">IF(LEN(A78)=0,"",INDEX('Smelter Look-up'!$C:$C,MATCH($A78,'Smelter Look-up'!$E:$E,0)))</f>
        <v>Gold Refinery of Zijin Mining Group Co., Ltd.</v>
      </c>
      <c r="D78" s="283"/>
      <c r="E78" s="217" t="str">
        <f ca="1">IF(ISERROR($V78),"",OFFSET('Smelter Look-up'!$D$4,$V78-4,0)&amp;"")</f>
        <v>CHINA</v>
      </c>
      <c r="F78" s="217" t="str">
        <f ca="1">IF(ISERROR($V78),"",OFFSET('Smelter Look-up'!$E$4,$V78-4,0))</f>
        <v>CID002243</v>
      </c>
      <c r="G78" s="217" t="str">
        <f ca="1">IF(C78=$X$4,"Enter smelter details",IF(ISERROR($V78),"",OFFSET('Smelter Look-up'!$F$4,$V78-4,0)))</f>
        <v>RMI</v>
      </c>
      <c r="H78" s="218">
        <f ca="1">IF(ISERROR($V78),"",OFFSET('Smelter Look-up'!$G$4,$V78-4,0))</f>
        <v>0</v>
      </c>
      <c r="I78" s="219" t="str">
        <f ca="1">IF(ISERROR($V78),"",OFFSET('Smelter Look-up'!$H$4,$V78-4,0))</f>
        <v>Shanghang</v>
      </c>
      <c r="J78" s="219" t="str">
        <f ca="1">IF(ISERROR($V78),"",OFFSET('Smelter Look-up'!$I$4,$V78-4,0))</f>
        <v>Fujian Sheng</v>
      </c>
      <c r="K78" s="273"/>
      <c r="L78" s="273"/>
      <c r="M78" s="273"/>
      <c r="N78" s="273"/>
      <c r="O78" s="273"/>
      <c r="P78" s="220"/>
      <c r="Q78" s="274"/>
      <c r="R78" s="217" t="str">
        <f ca="1">IF(ISERROR($V78),"",OFFSET('Smelter Look-up'!$C$4,$V78-4,0)&amp;"")</f>
        <v>Gold Refinery of Zijin Mining Group Co., Ltd.</v>
      </c>
      <c r="S78" s="225" t="str">
        <f t="shared" ca="1" si="12"/>
        <v>CN</v>
      </c>
      <c r="T78" s="225" t="str">
        <f ca="1">IF(B78="","",IF(ISERROR(MATCH($J78,SorP!$B$1:$B$6230,0)),"",INDIRECT("'SorP'!$A$"&amp;MATCH($J78,SorP!$B$1:$B$6230,0))))</f>
        <v>CN-FJ</v>
      </c>
      <c r="U78" s="241"/>
      <c r="V78" s="275">
        <f ca="1">IF(C78="",NA(),MATCH($B78&amp;$C78,'Smelter Look-up'!$J:$J,0))</f>
        <v>83</v>
      </c>
      <c r="W78" s="276"/>
      <c r="X78" s="276">
        <f t="shared" ca="1" si="13"/>
        <v>0</v>
      </c>
      <c r="Y78" s="276"/>
      <c r="Z78" s="276"/>
      <c r="AB78" s="278" t="str">
        <f t="shared" ca="1" si="14"/>
        <v>GoldGold Refinery of Zijin Mining Group Co., Ltd.</v>
      </c>
    </row>
    <row r="79" spans="1:28" s="277" customFormat="1" ht="20.25">
      <c r="A79" s="450" t="s">
        <v>2645</v>
      </c>
      <c r="B79" s="217" t="str">
        <f ca="1">IF(LEN(A79)=0,"",INDEX('Smelter Look-up'!$A:$A,MATCH($A79,'Smelter Look-up'!$E:$E,0)))</f>
        <v>Gold</v>
      </c>
      <c r="C79" s="221" t="str">
        <f ca="1">IF(LEN(A79)=0,"",INDEX('Smelter Look-up'!$C:$C,MATCH($A79,'Smelter Look-up'!$E:$E,0)))</f>
        <v>LT Metal Ltd.</v>
      </c>
      <c r="D79" s="283"/>
      <c r="E79" s="217" t="str">
        <f ca="1">IF(ISERROR($V79),"",OFFSET('Smelter Look-up'!$D$4,$V79-4,0)&amp;"")</f>
        <v>KOREA, REPUBLIC OF</v>
      </c>
      <c r="F79" s="217" t="str">
        <f ca="1">IF(ISERROR($V79),"",OFFSET('Smelter Look-up'!$E$4,$V79-4,0))</f>
        <v>CID000689</v>
      </c>
      <c r="G79" s="217" t="str">
        <f ca="1">IF(C79=$X$4,"Enter smelter details",IF(ISERROR($V79),"",OFFSET('Smelter Look-up'!$F$4,$V79-4,0)))</f>
        <v>RMI</v>
      </c>
      <c r="H79" s="218">
        <f ca="1">IF(ISERROR($V79),"",OFFSET('Smelter Look-up'!$G$4,$V79-4,0))</f>
        <v>0</v>
      </c>
      <c r="I79" s="219" t="str">
        <f ca="1">IF(ISERROR($V79),"",OFFSET('Smelter Look-up'!$H$4,$V79-4,0))</f>
        <v>Seo-gu</v>
      </c>
      <c r="J79" s="219" t="str">
        <f ca="1">IF(ISERROR($V79),"",OFFSET('Smelter Look-up'!$I$4,$V79-4,0))</f>
        <v>Incheon-gwangyeoksi</v>
      </c>
      <c r="K79" s="273"/>
      <c r="L79" s="273"/>
      <c r="M79" s="273"/>
      <c r="N79" s="273"/>
      <c r="O79" s="273"/>
      <c r="P79" s="220"/>
      <c r="Q79" s="274"/>
      <c r="R79" s="217" t="str">
        <f ca="1">IF(ISERROR($V79),"",OFFSET('Smelter Look-up'!$C$4,$V79-4,0)&amp;"")</f>
        <v>LT Metal Ltd.</v>
      </c>
      <c r="S79" s="225" t="str">
        <f t="shared" ca="1" si="12"/>
        <v>KR</v>
      </c>
      <c r="T79" s="225" t="str">
        <f ca="1">IF(B79="","",IF(ISERROR(MATCH($J79,SorP!$B$1:$B$6230,0)),"",INDIRECT("'SorP'!$A$"&amp;MATCH($J79,SorP!$B$1:$B$6230,0))))</f>
        <v>KR-28</v>
      </c>
      <c r="U79" s="241"/>
      <c r="V79" s="275">
        <f ca="1">IF(C79="",NA(),MATCH($B79&amp;$C79,'Smelter Look-up'!$J:$J,0))</f>
        <v>144</v>
      </c>
      <c r="W79" s="276"/>
      <c r="X79" s="276">
        <f t="shared" ca="1" si="13"/>
        <v>0</v>
      </c>
      <c r="Y79" s="276"/>
      <c r="Z79" s="276"/>
      <c r="AB79" s="278" t="str">
        <f t="shared" ca="1" si="14"/>
        <v>GoldLT Metal Ltd.</v>
      </c>
    </row>
    <row r="80" spans="1:28" s="277" customFormat="1" ht="20.25">
      <c r="A80" s="450" t="s">
        <v>694</v>
      </c>
      <c r="B80" s="217" t="str">
        <f ca="1">IF(LEN(A80)=0,"",INDEX('Smelter Look-up'!$A:$A,MATCH($A80,'Smelter Look-up'!$E:$E,0)))</f>
        <v>Gold</v>
      </c>
      <c r="C80" s="221" t="str">
        <f ca="1">IF(LEN(A80)=0,"",INDEX('Smelter Look-up'!$C:$C,MATCH($A80,'Smelter Look-up'!$E:$E,0)))</f>
        <v>Heimerle + Meule GmbH</v>
      </c>
      <c r="D80" s="283"/>
      <c r="E80" s="217" t="str">
        <f ca="1">IF(ISERROR($V80),"",OFFSET('Smelter Look-up'!$D$4,$V80-4,0)&amp;"")</f>
        <v>GERMANY</v>
      </c>
      <c r="F80" s="217" t="str">
        <f ca="1">IF(ISERROR($V80),"",OFFSET('Smelter Look-up'!$E$4,$V80-4,0))</f>
        <v>CID000694</v>
      </c>
      <c r="G80" s="217" t="str">
        <f ca="1">IF(C80=$X$4,"Enter smelter details",IF(ISERROR($V80),"",OFFSET('Smelter Look-up'!$F$4,$V80-4,0)))</f>
        <v>RMI</v>
      </c>
      <c r="H80" s="218">
        <f ca="1">IF(ISERROR($V80),"",OFFSET('Smelter Look-up'!$G$4,$V80-4,0))</f>
        <v>0</v>
      </c>
      <c r="I80" s="219" t="str">
        <f ca="1">IF(ISERROR($V80),"",OFFSET('Smelter Look-up'!$H$4,$V80-4,0))</f>
        <v>Pforzheim</v>
      </c>
      <c r="J80" s="219" t="str">
        <f ca="1">IF(ISERROR($V80),"",OFFSET('Smelter Look-up'!$I$4,$V80-4,0))</f>
        <v>Baden-Württemberg</v>
      </c>
      <c r="K80" s="273"/>
      <c r="L80" s="273"/>
      <c r="M80" s="273"/>
      <c r="N80" s="273"/>
      <c r="O80" s="273"/>
      <c r="P80" s="220"/>
      <c r="Q80" s="274"/>
      <c r="R80" s="217" t="str">
        <f ca="1">IF(ISERROR($V80),"",OFFSET('Smelter Look-up'!$C$4,$V80-4,0)&amp;"")</f>
        <v>Heimerle + Meule GmbH</v>
      </c>
      <c r="S80" s="225" t="str">
        <f t="shared" ca="1" si="12"/>
        <v>DE</v>
      </c>
      <c r="T80" s="225" t="str">
        <f ca="1">IF(B80="","",IF(ISERROR(MATCH($J80,SorP!$B$1:$B$6230,0)),"",INDIRECT("'SorP'!$A$"&amp;MATCH($J80,SorP!$B$1:$B$6230,0))))</f>
        <v>DE-BW</v>
      </c>
      <c r="U80" s="241"/>
      <c r="V80" s="275">
        <f ca="1">IF(C80="",NA(),MATCH($B80&amp;$C80,'Smelter Look-up'!$J:$J,0))</f>
        <v>92</v>
      </c>
      <c r="W80" s="276"/>
      <c r="X80" s="276">
        <f t="shared" ca="1" si="13"/>
        <v>0</v>
      </c>
      <c r="Y80" s="276"/>
      <c r="Z80" s="276"/>
      <c r="AB80" s="278" t="str">
        <f t="shared" ca="1" si="14"/>
        <v>GoldHeimerle + Meule GmbH</v>
      </c>
    </row>
    <row r="81" spans="1:28" s="277" customFormat="1" ht="20.25">
      <c r="A81" s="450" t="s">
        <v>695</v>
      </c>
      <c r="B81" s="217" t="str">
        <f ca="1">IF(LEN(A81)=0,"",INDEX('Smelter Look-up'!$A:$A,MATCH($A81,'Smelter Look-up'!$E:$E,0)))</f>
        <v>Gold</v>
      </c>
      <c r="C81" s="221" t="str">
        <f ca="1">IF(LEN(A81)=0,"",INDEX('Smelter Look-up'!$C:$C,MATCH($A81,'Smelter Look-up'!$E:$E,0)))</f>
        <v>Heraeus Metals Hong Kong Ltd.</v>
      </c>
      <c r="D81" s="283"/>
      <c r="E81" s="217" t="str">
        <f ca="1">IF(ISERROR($V81),"",OFFSET('Smelter Look-up'!$D$4,$V81-4,0)&amp;"")</f>
        <v>CHINA</v>
      </c>
      <c r="F81" s="217" t="str">
        <f ca="1">IF(ISERROR($V81),"",OFFSET('Smelter Look-up'!$E$4,$V81-4,0))</f>
        <v>CID000707</v>
      </c>
      <c r="G81" s="217" t="str">
        <f ca="1">IF(C81=$X$4,"Enter smelter details",IF(ISERROR($V81),"",OFFSET('Smelter Look-up'!$F$4,$V81-4,0)))</f>
        <v>RMI</v>
      </c>
      <c r="H81" s="218">
        <f ca="1">IF(ISERROR($V81),"",OFFSET('Smelter Look-up'!$G$4,$V81-4,0))</f>
        <v>0</v>
      </c>
      <c r="I81" s="219" t="str">
        <f ca="1">IF(ISERROR($V81),"",OFFSET('Smelter Look-up'!$H$4,$V81-4,0))</f>
        <v>Fanling</v>
      </c>
      <c r="J81" s="219" t="str">
        <f ca="1">IF(ISERROR($V81),"",OFFSET('Smelter Look-up'!$I$4,$V81-4,0))</f>
        <v>Hong Kong SAR</v>
      </c>
      <c r="K81" s="273"/>
      <c r="L81" s="273"/>
      <c r="M81" s="273"/>
      <c r="N81" s="273"/>
      <c r="O81" s="273"/>
      <c r="P81" s="220"/>
      <c r="Q81" s="274"/>
      <c r="R81" s="217" t="str">
        <f ca="1">IF(ISERROR($V81),"",OFFSET('Smelter Look-up'!$C$4,$V81-4,0)&amp;"")</f>
        <v>Heraeus Metals Hong Kong Ltd.</v>
      </c>
      <c r="S81" s="225" t="str">
        <f t="shared" ca="1" si="12"/>
        <v>CN</v>
      </c>
      <c r="T81" s="225" t="str">
        <f ca="1">IF(B81="","",IF(ISERROR(MATCH($J81,SorP!$B$1:$B$6230,0)),"",INDIRECT("'SorP'!$A$"&amp;MATCH($J81,SorP!$B$1:$B$6230,0))))</f>
        <v>CN-HK</v>
      </c>
      <c r="U81" s="241"/>
      <c r="V81" s="275">
        <f ca="1">IF(C81="",NA(),MATCH($B81&amp;$C81,'Smelter Look-up'!$J:$J,0))</f>
        <v>97</v>
      </c>
      <c r="W81" s="276"/>
      <c r="X81" s="276">
        <f t="shared" ca="1" si="13"/>
        <v>0</v>
      </c>
      <c r="Y81" s="276"/>
      <c r="Z81" s="276"/>
      <c r="AB81" s="278" t="str">
        <f t="shared" ca="1" si="14"/>
        <v>GoldHeraeus Metals Hong Kong Ltd.</v>
      </c>
    </row>
    <row r="82" spans="1:28" s="277" customFormat="1" ht="20.25">
      <c r="A82" s="450" t="s">
        <v>696</v>
      </c>
      <c r="B82" s="217" t="str">
        <f ca="1">IF(LEN(A82)=0,"",INDEX('Smelter Look-up'!$A:$A,MATCH($A82,'Smelter Look-up'!$E:$E,0)))</f>
        <v>Gold</v>
      </c>
      <c r="C82" s="221" t="str">
        <f ca="1">IF(LEN(A82)=0,"",INDEX('Smelter Look-up'!$C:$C,MATCH($A82,'Smelter Look-up'!$E:$E,0)))</f>
        <v>Heraeus Precious Metals GmbH &amp; Co. KG</v>
      </c>
      <c r="D82" s="283"/>
      <c r="E82" s="217" t="str">
        <f ca="1">IF(ISERROR($V82),"",OFFSET('Smelter Look-up'!$D$4,$V82-4,0)&amp;"")</f>
        <v>GERMANY</v>
      </c>
      <c r="F82" s="217" t="str">
        <f ca="1">IF(ISERROR($V82),"",OFFSET('Smelter Look-up'!$E$4,$V82-4,0))</f>
        <v>CID000711</v>
      </c>
      <c r="G82" s="217" t="str">
        <f ca="1">IF(C82=$X$4,"Enter smelter details",IF(ISERROR($V82),"",OFFSET('Smelter Look-up'!$F$4,$V82-4,0)))</f>
        <v>RMI</v>
      </c>
      <c r="H82" s="218">
        <f ca="1">IF(ISERROR($V82),"",OFFSET('Smelter Look-up'!$G$4,$V82-4,0))</f>
        <v>0</v>
      </c>
      <c r="I82" s="219" t="str">
        <f ca="1">IF(ISERROR($V82),"",OFFSET('Smelter Look-up'!$H$4,$V82-4,0))</f>
        <v>Hanau</v>
      </c>
      <c r="J82" s="219" t="str">
        <f ca="1">IF(ISERROR($V82),"",OFFSET('Smelter Look-up'!$I$4,$V82-4,0))</f>
        <v>Hessen</v>
      </c>
      <c r="K82" s="273"/>
      <c r="L82" s="273"/>
      <c r="M82" s="273"/>
      <c r="N82" s="273"/>
      <c r="O82" s="273"/>
      <c r="P82" s="220"/>
      <c r="Q82" s="274"/>
      <c r="R82" s="217" t="str">
        <f ca="1">IF(ISERROR($V82),"",OFFSET('Smelter Look-up'!$C$4,$V82-4,0)&amp;"")</f>
        <v>Heraeus Precious Metals GmbH &amp; Co. KG</v>
      </c>
      <c r="S82" s="225" t="str">
        <f t="shared" ca="1" si="12"/>
        <v>DE</v>
      </c>
      <c r="T82" s="225" t="str">
        <f ca="1">IF(B82="","",IF(ISERROR(MATCH($J82,SorP!$B$1:$B$6230,0)),"",INDIRECT("'SorP'!$A$"&amp;MATCH($J82,SorP!$B$1:$B$6230,0))))</f>
        <v>DE-HE</v>
      </c>
      <c r="U82" s="241"/>
      <c r="V82" s="275">
        <f ca="1">IF(C82="",NA(),MATCH($B82&amp;$C82,'Smelter Look-up'!$J:$J,0))</f>
        <v>98</v>
      </c>
      <c r="W82" s="276"/>
      <c r="X82" s="276">
        <f t="shared" ca="1" si="13"/>
        <v>0</v>
      </c>
      <c r="Y82" s="276"/>
      <c r="Z82" s="276"/>
      <c r="AB82" s="278" t="str">
        <f t="shared" ca="1" si="14"/>
        <v>GoldHeraeus Precious Metals GmbH &amp; Co. KG</v>
      </c>
    </row>
    <row r="83" spans="1:28" s="277" customFormat="1" ht="20.25">
      <c r="A83" s="450" t="s">
        <v>699</v>
      </c>
      <c r="B83" s="217" t="str">
        <f ca="1">IF(LEN(A83)=0,"",INDEX('Smelter Look-up'!$A:$A,MATCH($A83,'Smelter Look-up'!$E:$E,0)))</f>
        <v>Gold</v>
      </c>
      <c r="C83" s="221" t="str">
        <f ca="1">IF(LEN(A83)=0,"",INDEX('Smelter Look-up'!$C:$C,MATCH($A83,'Smelter Look-up'!$E:$E,0)))</f>
        <v>Inner Mongolia Qiankun Gold and Silver Refinery Share Co., Ltd.</v>
      </c>
      <c r="D83" s="283"/>
      <c r="E83" s="217" t="str">
        <f ca="1">IF(ISERROR($V83),"",OFFSET('Smelter Look-up'!$D$4,$V83-4,0)&amp;"")</f>
        <v>CHINA</v>
      </c>
      <c r="F83" s="217" t="str">
        <f ca="1">IF(ISERROR($V83),"",OFFSET('Smelter Look-up'!$E$4,$V83-4,0))</f>
        <v>CID000801</v>
      </c>
      <c r="G83" s="217" t="str">
        <f ca="1">IF(C83=$X$4,"Enter smelter details",IF(ISERROR($V83),"",OFFSET('Smelter Look-up'!$F$4,$V83-4,0)))</f>
        <v>RMI</v>
      </c>
      <c r="H83" s="218">
        <f ca="1">IF(ISERROR($V83),"",OFFSET('Smelter Look-up'!$G$4,$V83-4,0))</f>
        <v>0</v>
      </c>
      <c r="I83" s="219" t="str">
        <f ca="1">IF(ISERROR($V83),"",OFFSET('Smelter Look-up'!$H$4,$V83-4,0))</f>
        <v>Hohhot</v>
      </c>
      <c r="J83" s="219" t="str">
        <f ca="1">IF(ISERROR($V83),"",OFFSET('Smelter Look-up'!$I$4,$V83-4,0))</f>
        <v>Nei Mongol Zizhiqu</v>
      </c>
      <c r="K83" s="273"/>
      <c r="L83" s="273"/>
      <c r="M83" s="273"/>
      <c r="N83" s="273"/>
      <c r="O83" s="273"/>
      <c r="P83" s="220"/>
      <c r="Q83" s="274"/>
      <c r="R83" s="217" t="str">
        <f ca="1">IF(ISERROR($V83),"",OFFSET('Smelter Look-up'!$C$4,$V83-4,0)&amp;"")</f>
        <v>Inner Mongolia Qiankun Gold and Silver Refinery Share Co., Ltd.</v>
      </c>
      <c r="S83" s="225" t="str">
        <f t="shared" ca="1" si="12"/>
        <v>CN</v>
      </c>
      <c r="T83" s="225" t="str">
        <f ca="1">IF(B83="","",IF(ISERROR(MATCH($J83,SorP!$B$1:$B$6230,0)),"",INDIRECT("'SorP'!$A$"&amp;MATCH($J83,SorP!$B$1:$B$6230,0))))</f>
        <v>CN-NM</v>
      </c>
      <c r="U83" s="241"/>
      <c r="V83" s="275">
        <f ca="1">IF(C83="",NA(),MATCH($B83&amp;$C83,'Smelter Look-up'!$J:$J,0))</f>
        <v>105</v>
      </c>
      <c r="W83" s="276"/>
      <c r="X83" s="276">
        <f t="shared" ca="1" si="13"/>
        <v>0</v>
      </c>
      <c r="Y83" s="276"/>
      <c r="Z83" s="276"/>
      <c r="AB83" s="278" t="str">
        <f t="shared" ca="1" si="14"/>
        <v>GoldInner Mongolia Qiankun Gold and Silver Refinery Share Co., Ltd.</v>
      </c>
    </row>
    <row r="84" spans="1:28" s="277" customFormat="1" ht="20.25">
      <c r="A84" s="450" t="s">
        <v>700</v>
      </c>
      <c r="B84" s="217" t="str">
        <f ca="1">IF(LEN(A84)=0,"",INDEX('Smelter Look-up'!$A:$A,MATCH($A84,'Smelter Look-up'!$E:$E,0)))</f>
        <v>Gold</v>
      </c>
      <c r="C84" s="221" t="str">
        <f ca="1">IF(LEN(A84)=0,"",INDEX('Smelter Look-up'!$C:$C,MATCH($A84,'Smelter Look-up'!$E:$E,0)))</f>
        <v>Ishifuku Metal Industry Co., Ltd.</v>
      </c>
      <c r="D84" s="283"/>
      <c r="E84" s="217" t="str">
        <f ca="1">IF(ISERROR($V84),"",OFFSET('Smelter Look-up'!$D$4,$V84-4,0)&amp;"")</f>
        <v>JAPAN</v>
      </c>
      <c r="F84" s="217" t="str">
        <f ca="1">IF(ISERROR($V84),"",OFFSET('Smelter Look-up'!$E$4,$V84-4,0))</f>
        <v>CID000807</v>
      </c>
      <c r="G84" s="217" t="str">
        <f ca="1">IF(C84=$X$4,"Enter smelter details",IF(ISERROR($V84),"",OFFSET('Smelter Look-up'!$F$4,$V84-4,0)))</f>
        <v>RMI</v>
      </c>
      <c r="H84" s="218">
        <f ca="1">IF(ISERROR($V84),"",OFFSET('Smelter Look-up'!$G$4,$V84-4,0))</f>
        <v>0</v>
      </c>
      <c r="I84" s="219" t="str">
        <f ca="1">IF(ISERROR($V84),"",OFFSET('Smelter Look-up'!$H$4,$V84-4,0))</f>
        <v>Soka</v>
      </c>
      <c r="J84" s="219" t="str">
        <f ca="1">IF(ISERROR($V84),"",OFFSET('Smelter Look-up'!$I$4,$V84-4,0))</f>
        <v>Saitama</v>
      </c>
      <c r="K84" s="273"/>
      <c r="L84" s="273"/>
      <c r="M84" s="273"/>
      <c r="N84" s="273"/>
      <c r="O84" s="273"/>
      <c r="P84" s="220"/>
      <c r="Q84" s="274"/>
      <c r="R84" s="217" t="str">
        <f ca="1">IF(ISERROR($V84),"",OFFSET('Smelter Look-up'!$C$4,$V84-4,0)&amp;"")</f>
        <v>Ishifuku Metal Industry Co., Ltd.</v>
      </c>
      <c r="S84" s="225" t="str">
        <f t="shared" ca="1" si="12"/>
        <v>JP</v>
      </c>
      <c r="T84" s="225" t="str">
        <f ca="1">IF(B84="","",IF(ISERROR(MATCH($J84,SorP!$B$1:$B$6230,0)),"",INDIRECT("'SorP'!$A$"&amp;MATCH($J84,SorP!$B$1:$B$6230,0))))</f>
        <v>JP-11</v>
      </c>
      <c r="U84" s="241"/>
      <c r="V84" s="275">
        <f ca="1">IF(C84="",NA(),MATCH($B84&amp;$C84,'Smelter Look-up'!$J:$J,0))</f>
        <v>107</v>
      </c>
      <c r="W84" s="276"/>
      <c r="X84" s="276">
        <f t="shared" ca="1" si="13"/>
        <v>0</v>
      </c>
      <c r="Y84" s="276"/>
      <c r="Z84" s="276"/>
      <c r="AB84" s="278" t="str">
        <f t="shared" ca="1" si="14"/>
        <v>GoldIshifuku Metal Industry Co., Ltd.</v>
      </c>
    </row>
    <row r="85" spans="1:28" s="277" customFormat="1" ht="20.25">
      <c r="A85" s="450" t="s">
        <v>701</v>
      </c>
      <c r="B85" s="217" t="str">
        <f ca="1">IF(LEN(A85)=0,"",INDEX('Smelter Look-up'!$A:$A,MATCH($A85,'Smelter Look-up'!$E:$E,0)))</f>
        <v>Gold</v>
      </c>
      <c r="C85" s="221" t="str">
        <f ca="1">IF(LEN(A85)=0,"",INDEX('Smelter Look-up'!$C:$C,MATCH($A85,'Smelter Look-up'!$E:$E,0)))</f>
        <v>Istanbul Gold Refinery</v>
      </c>
      <c r="D85" s="283"/>
      <c r="E85" s="217" t="str">
        <f ca="1">IF(ISERROR($V85),"",OFFSET('Smelter Look-up'!$D$4,$V85-4,0)&amp;"")</f>
        <v>TURKEY</v>
      </c>
      <c r="F85" s="217" t="str">
        <f ca="1">IF(ISERROR($V85),"",OFFSET('Smelter Look-up'!$E$4,$V85-4,0))</f>
        <v>CID000814</v>
      </c>
      <c r="G85" s="217" t="str">
        <f ca="1">IF(C85=$X$4,"Enter smelter details",IF(ISERROR($V85),"",OFFSET('Smelter Look-up'!$F$4,$V85-4,0)))</f>
        <v>RMI</v>
      </c>
      <c r="H85" s="218">
        <f ca="1">IF(ISERROR($V85),"",OFFSET('Smelter Look-up'!$G$4,$V85-4,0))</f>
        <v>0</v>
      </c>
      <c r="I85" s="219" t="str">
        <f ca="1">IF(ISERROR($V85),"",OFFSET('Smelter Look-up'!$H$4,$V85-4,0))</f>
        <v>Kuyumcukent</v>
      </c>
      <c r="J85" s="219" t="str">
        <f ca="1">IF(ISERROR($V85),"",OFFSET('Smelter Look-up'!$I$4,$V85-4,0))</f>
        <v>İstanbul</v>
      </c>
      <c r="K85" s="273"/>
      <c r="L85" s="273"/>
      <c r="M85" s="273"/>
      <c r="N85" s="273"/>
      <c r="O85" s="273"/>
      <c r="P85" s="220"/>
      <c r="Q85" s="274"/>
      <c r="R85" s="217" t="str">
        <f ca="1">IF(ISERROR($V85),"",OFFSET('Smelter Look-up'!$C$4,$V85-4,0)&amp;"")</f>
        <v>Istanbul Gold Refinery</v>
      </c>
      <c r="S85" s="225" t="str">
        <f t="shared" ca="1" si="12"/>
        <v>TR</v>
      </c>
      <c r="T85" s="225" t="str">
        <f ca="1">IF(B85="","",IF(ISERROR(MATCH($J85,SorP!$B$1:$B$6230,0)),"",INDIRECT("'SorP'!$A$"&amp;MATCH($J85,SorP!$B$1:$B$6230,0))))</f>
        <v>TR-34</v>
      </c>
      <c r="U85" s="241"/>
      <c r="V85" s="275">
        <f ca="1">IF(C85="",NA(),MATCH($B85&amp;$C85,'Smelter Look-up'!$J:$J,0))</f>
        <v>108</v>
      </c>
      <c r="W85" s="276"/>
      <c r="X85" s="276">
        <f t="shared" ca="1" si="13"/>
        <v>0</v>
      </c>
      <c r="Y85" s="276"/>
      <c r="Z85" s="276"/>
      <c r="AB85" s="278" t="str">
        <f t="shared" ca="1" si="14"/>
        <v>GoldIstanbul Gold Refinery</v>
      </c>
    </row>
    <row r="86" spans="1:28" s="277" customFormat="1" ht="20.25">
      <c r="A86" s="450" t="s">
        <v>2650</v>
      </c>
      <c r="B86" s="217" t="str">
        <f ca="1">IF(LEN(A86)=0,"",INDEX('Smelter Look-up'!$A:$A,MATCH($A86,'Smelter Look-up'!$E:$E,0)))</f>
        <v>Gold</v>
      </c>
      <c r="C86" s="221" t="str">
        <f ca="1">IF(LEN(A86)=0,"",INDEX('Smelter Look-up'!$C:$C,MATCH($A86,'Smelter Look-up'!$E:$E,0)))</f>
        <v>Italpreziosi</v>
      </c>
      <c r="D86" s="283"/>
      <c r="E86" s="217" t="str">
        <f ca="1">IF(ISERROR($V86),"",OFFSET('Smelter Look-up'!$D$4,$V86-4,0)&amp;"")</f>
        <v>ITALY</v>
      </c>
      <c r="F86" s="217" t="str">
        <f ca="1">IF(ISERROR($V86),"",OFFSET('Smelter Look-up'!$E$4,$V86-4,0))</f>
        <v>CID002765</v>
      </c>
      <c r="G86" s="217" t="str">
        <f ca="1">IF(C86=$X$4,"Enter smelter details",IF(ISERROR($V86),"",OFFSET('Smelter Look-up'!$F$4,$V86-4,0)))</f>
        <v>RMI</v>
      </c>
      <c r="H86" s="218">
        <f ca="1">IF(ISERROR($V86),"",OFFSET('Smelter Look-up'!$G$4,$V86-4,0))</f>
        <v>0</v>
      </c>
      <c r="I86" s="219" t="str">
        <f ca="1">IF(ISERROR($V86),"",OFFSET('Smelter Look-up'!$H$4,$V86-4,0))</f>
        <v>Arezzo</v>
      </c>
      <c r="J86" s="219" t="str">
        <f ca="1">IF(ISERROR($V86),"",OFFSET('Smelter Look-up'!$I$4,$V86-4,0))</f>
        <v>Toscana</v>
      </c>
      <c r="K86" s="273"/>
      <c r="L86" s="273"/>
      <c r="M86" s="273"/>
      <c r="N86" s="273"/>
      <c r="O86" s="273"/>
      <c r="P86" s="220"/>
      <c r="Q86" s="274"/>
      <c r="R86" s="217" t="str">
        <f ca="1">IF(ISERROR($V86),"",OFFSET('Smelter Look-up'!$C$4,$V86-4,0)&amp;"")</f>
        <v>Italpreziosi</v>
      </c>
      <c r="S86" s="225" t="str">
        <f t="shared" ca="1" si="12"/>
        <v>IT</v>
      </c>
      <c r="T86" s="225" t="str">
        <f ca="1">IF(B86="","",IF(ISERROR(MATCH($J86,SorP!$B$1:$B$6230,0)),"",INDIRECT("'SorP'!$A$"&amp;MATCH($J86,SorP!$B$1:$B$6230,0))))</f>
        <v>IT-52</v>
      </c>
      <c r="U86" s="241"/>
      <c r="V86" s="275">
        <f ca="1">IF(C86="",NA(),MATCH($B86&amp;$C86,'Smelter Look-up'!$J:$J,0))</f>
        <v>109</v>
      </c>
      <c r="W86" s="276"/>
      <c r="X86" s="276">
        <f t="shared" ca="1" si="13"/>
        <v>0</v>
      </c>
      <c r="Y86" s="276"/>
      <c r="Z86" s="276"/>
      <c r="AB86" s="278" t="str">
        <f t="shared" ca="1" si="14"/>
        <v>GoldItalpreziosi</v>
      </c>
    </row>
    <row r="87" spans="1:28" s="277" customFormat="1" ht="20.25">
      <c r="A87" s="450" t="s">
        <v>702</v>
      </c>
      <c r="B87" s="217" t="str">
        <f ca="1">IF(LEN(A87)=0,"",INDEX('Smelter Look-up'!$A:$A,MATCH($A87,'Smelter Look-up'!$E:$E,0)))</f>
        <v>Gold</v>
      </c>
      <c r="C87" s="221" t="str">
        <f ca="1">IF(LEN(A87)=0,"",INDEX('Smelter Look-up'!$C:$C,MATCH($A87,'Smelter Look-up'!$E:$E,0)))</f>
        <v>Japan Mint</v>
      </c>
      <c r="D87" s="283"/>
      <c r="E87" s="217" t="str">
        <f ca="1">IF(ISERROR($V87),"",OFFSET('Smelter Look-up'!$D$4,$V87-4,0)&amp;"")</f>
        <v>JAPAN</v>
      </c>
      <c r="F87" s="217" t="str">
        <f ca="1">IF(ISERROR($V87),"",OFFSET('Smelter Look-up'!$E$4,$V87-4,0))</f>
        <v>CID000823</v>
      </c>
      <c r="G87" s="217" t="str">
        <f ca="1">IF(C87=$X$4,"Enter smelter details",IF(ISERROR($V87),"",OFFSET('Smelter Look-up'!$F$4,$V87-4,0)))</f>
        <v>RMI</v>
      </c>
      <c r="H87" s="218">
        <f ca="1">IF(ISERROR($V87),"",OFFSET('Smelter Look-up'!$G$4,$V87-4,0))</f>
        <v>0</v>
      </c>
      <c r="I87" s="219" t="str">
        <f ca="1">IF(ISERROR($V87),"",OFFSET('Smelter Look-up'!$H$4,$V87-4,0))</f>
        <v>Osaka</v>
      </c>
      <c r="J87" s="219" t="str">
        <f ca="1">IF(ISERROR($V87),"",OFFSET('Smelter Look-up'!$I$4,$V87-4,0))</f>
        <v>Osaka</v>
      </c>
      <c r="K87" s="273"/>
      <c r="L87" s="273"/>
      <c r="M87" s="273"/>
      <c r="N87" s="273"/>
      <c r="O87" s="273"/>
      <c r="P87" s="220"/>
      <c r="Q87" s="274"/>
      <c r="R87" s="217" t="str">
        <f ca="1">IF(ISERROR($V87),"",OFFSET('Smelter Look-up'!$C$4,$V87-4,0)&amp;"")</f>
        <v>Japan Mint</v>
      </c>
      <c r="S87" s="225" t="str">
        <f t="shared" ca="1" si="12"/>
        <v>JP</v>
      </c>
      <c r="T87" s="225" t="str">
        <f ca="1">IF(B87="","",IF(ISERROR(MATCH($J87,SorP!$B$1:$B$6230,0)),"",INDIRECT("'SorP'!$A$"&amp;MATCH($J87,SorP!$B$1:$B$6230,0))))</f>
        <v>JP-27</v>
      </c>
      <c r="U87" s="241"/>
      <c r="V87" s="275">
        <f ca="1">IF(C87="",NA(),MATCH($B87&amp;$C87,'Smelter Look-up'!$J:$J,0))</f>
        <v>111</v>
      </c>
      <c r="W87" s="276"/>
      <c r="X87" s="276">
        <f t="shared" ca="1" si="13"/>
        <v>0</v>
      </c>
      <c r="Y87" s="276"/>
      <c r="Z87" s="276"/>
      <c r="AB87" s="278" t="str">
        <f t="shared" ca="1" si="14"/>
        <v>GoldJapan Mint</v>
      </c>
    </row>
    <row r="88" spans="1:28" s="277" customFormat="1" ht="20.25">
      <c r="A88" s="450" t="s">
        <v>703</v>
      </c>
      <c r="B88" s="217" t="str">
        <f ca="1">IF(LEN(A88)=0,"",INDEX('Smelter Look-up'!$A:$A,MATCH($A88,'Smelter Look-up'!$E:$E,0)))</f>
        <v>Gold</v>
      </c>
      <c r="C88" s="221" t="str">
        <f ca="1">IF(LEN(A88)=0,"",INDEX('Smelter Look-up'!$C:$C,MATCH($A88,'Smelter Look-up'!$E:$E,0)))</f>
        <v>Jiangxi Copper Co., Ltd.</v>
      </c>
      <c r="D88" s="283"/>
      <c r="E88" s="217" t="str">
        <f ca="1">IF(ISERROR($V88),"",OFFSET('Smelter Look-up'!$D$4,$V88-4,0)&amp;"")</f>
        <v>CHINA</v>
      </c>
      <c r="F88" s="217" t="str">
        <f ca="1">IF(ISERROR($V88),"",OFFSET('Smelter Look-up'!$E$4,$V88-4,0))</f>
        <v>CID000855</v>
      </c>
      <c r="G88" s="217" t="str">
        <f ca="1">IF(C88=$X$4,"Enter smelter details",IF(ISERROR($V88),"",OFFSET('Smelter Look-up'!$F$4,$V88-4,0)))</f>
        <v>RMI</v>
      </c>
      <c r="H88" s="218">
        <f ca="1">IF(ISERROR($V88),"",OFFSET('Smelter Look-up'!$G$4,$V88-4,0))</f>
        <v>0</v>
      </c>
      <c r="I88" s="219" t="str">
        <f ca="1">IF(ISERROR($V88),"",OFFSET('Smelter Look-up'!$H$4,$V88-4,0))</f>
        <v>Guixi City</v>
      </c>
      <c r="J88" s="219" t="str">
        <f ca="1">IF(ISERROR($V88),"",OFFSET('Smelter Look-up'!$I$4,$V88-4,0))</f>
        <v>Jiangxi Sheng</v>
      </c>
      <c r="K88" s="273"/>
      <c r="L88" s="273"/>
      <c r="M88" s="273"/>
      <c r="N88" s="273"/>
      <c r="O88" s="273"/>
      <c r="P88" s="220"/>
      <c r="Q88" s="274"/>
      <c r="R88" s="217" t="str">
        <f ca="1">IF(ISERROR($V88),"",OFFSET('Smelter Look-up'!$C$4,$V88-4,0)&amp;"")</f>
        <v>Jiangxi Copper Co., Ltd.</v>
      </c>
      <c r="S88" s="225" t="str">
        <f t="shared" ca="1" si="12"/>
        <v>CN</v>
      </c>
      <c r="T88" s="225" t="str">
        <f ca="1">IF(B88="","",IF(ISERROR(MATCH($J88,SorP!$B$1:$B$6230,0)),"",INDIRECT("'SorP'!$A$"&amp;MATCH($J88,SorP!$B$1:$B$6230,0))))</f>
        <v>CN-JX</v>
      </c>
      <c r="U88" s="241"/>
      <c r="V88" s="275">
        <f ca="1">IF(C88="",NA(),MATCH($B88&amp;$C88,'Smelter Look-up'!$J:$J,0))</f>
        <v>113</v>
      </c>
      <c r="W88" s="276"/>
      <c r="X88" s="276">
        <f t="shared" ca="1" si="13"/>
        <v>0</v>
      </c>
      <c r="Y88" s="276"/>
      <c r="Z88" s="276"/>
      <c r="AB88" s="278" t="str">
        <f t="shared" ca="1" si="14"/>
        <v>GoldJiangxi Copper Co., Ltd.</v>
      </c>
    </row>
    <row r="89" spans="1:28" s="277" customFormat="1" ht="20.25">
      <c r="A89" s="450" t="s">
        <v>707</v>
      </c>
      <c r="B89" s="217" t="str">
        <f ca="1">IF(LEN(A89)=0,"",INDEX('Smelter Look-up'!$A:$A,MATCH($A89,'Smelter Look-up'!$E:$E,0)))</f>
        <v>Gold</v>
      </c>
      <c r="C89" s="221" t="str">
        <f ca="1">IF(LEN(A89)=0,"",INDEX('Smelter Look-up'!$C:$C,MATCH($A89,'Smelter Look-up'!$E:$E,0)))</f>
        <v>JSC Uralelectromed</v>
      </c>
      <c r="D89" s="283"/>
      <c r="E89" s="217" t="str">
        <f ca="1">IF(ISERROR($V89),"",OFFSET('Smelter Look-up'!$D$4,$V89-4,0)&amp;"")</f>
        <v>RUSSIAN FEDERATION</v>
      </c>
      <c r="F89" s="217" t="str">
        <f ca="1">IF(ISERROR($V89),"",OFFSET('Smelter Look-up'!$E$4,$V89-4,0))</f>
        <v>CID000929</v>
      </c>
      <c r="G89" s="217" t="str">
        <f ca="1">IF(C89=$X$4,"Enter smelter details",IF(ISERROR($V89),"",OFFSET('Smelter Look-up'!$F$4,$V89-4,0)))</f>
        <v>RMI</v>
      </c>
      <c r="H89" s="218">
        <f ca="1">IF(ISERROR($V89),"",OFFSET('Smelter Look-up'!$G$4,$V89-4,0))</f>
        <v>0</v>
      </c>
      <c r="I89" s="219" t="str">
        <f ca="1">IF(ISERROR($V89),"",OFFSET('Smelter Look-up'!$H$4,$V89-4,0))</f>
        <v>Verkhnyaya Pyshma</v>
      </c>
      <c r="J89" s="219" t="str">
        <f ca="1">IF(ISERROR($V89),"",OFFSET('Smelter Look-up'!$I$4,$V89-4,0))</f>
        <v>Sverdlovskaya oblast'</v>
      </c>
      <c r="K89" s="273"/>
      <c r="L89" s="273"/>
      <c r="M89" s="273"/>
      <c r="N89" s="273"/>
      <c r="O89" s="273"/>
      <c r="P89" s="220"/>
      <c r="Q89" s="274"/>
      <c r="R89" s="217" t="str">
        <f ca="1">IF(ISERROR($V89),"",OFFSET('Smelter Look-up'!$C$4,$V89-4,0)&amp;"")</f>
        <v>JSC Uralelectromed</v>
      </c>
      <c r="S89" s="225" t="str">
        <f t="shared" ca="1" si="12"/>
        <v>RU</v>
      </c>
      <c r="T89" s="225" t="str">
        <f ca="1">IF(B89="","",IF(ISERROR(MATCH($J89,SorP!$B$1:$B$6230,0)),"",INDIRECT("'SorP'!$A$"&amp;MATCH($J89,SorP!$B$1:$B$6230,0))))</f>
        <v>RU-SVE</v>
      </c>
      <c r="U89" s="241"/>
      <c r="V89" s="275">
        <f ca="1">IF(C89="",NA(),MATCH($B89&amp;$C89,'Smelter Look-up'!$J:$J,0))</f>
        <v>119</v>
      </c>
      <c r="W89" s="276"/>
      <c r="X89" s="276">
        <f t="shared" ca="1" si="13"/>
        <v>0</v>
      </c>
      <c r="Y89" s="276"/>
      <c r="Z89" s="276"/>
      <c r="AB89" s="278" t="str">
        <f t="shared" ca="1" si="14"/>
        <v>GoldJSC Uralelectromed</v>
      </c>
    </row>
    <row r="90" spans="1:28" s="277" customFormat="1" ht="20.25">
      <c r="A90" s="450" t="s">
        <v>708</v>
      </c>
      <c r="B90" s="217" t="str">
        <f ca="1">IF(LEN(A90)=0,"",INDEX('Smelter Look-up'!$A:$A,MATCH($A90,'Smelter Look-up'!$E:$E,0)))</f>
        <v>Gold</v>
      </c>
      <c r="C90" s="221" t="str">
        <f ca="1">IF(LEN(A90)=0,"",INDEX('Smelter Look-up'!$C:$C,MATCH($A90,'Smelter Look-up'!$E:$E,0)))</f>
        <v>JX Nippon Mining &amp; Metals Co., Ltd.</v>
      </c>
      <c r="D90" s="283"/>
      <c r="E90" s="217" t="str">
        <f ca="1">IF(ISERROR($V90),"",OFFSET('Smelter Look-up'!$D$4,$V90-4,0)&amp;"")</f>
        <v>JAPAN</v>
      </c>
      <c r="F90" s="217" t="str">
        <f ca="1">IF(ISERROR($V90),"",OFFSET('Smelter Look-up'!$E$4,$V90-4,0))</f>
        <v>CID000937</v>
      </c>
      <c r="G90" s="217" t="str">
        <f ca="1">IF(C90=$X$4,"Enter smelter details",IF(ISERROR($V90),"",OFFSET('Smelter Look-up'!$F$4,$V90-4,0)))</f>
        <v>RMI</v>
      </c>
      <c r="H90" s="218">
        <f ca="1">IF(ISERROR($V90),"",OFFSET('Smelter Look-up'!$G$4,$V90-4,0))</f>
        <v>0</v>
      </c>
      <c r="I90" s="219" t="str">
        <f ca="1">IF(ISERROR($V90),"",OFFSET('Smelter Look-up'!$H$4,$V90-4,0))</f>
        <v>Ōita</v>
      </c>
      <c r="J90" s="219" t="str">
        <f ca="1">IF(ISERROR($V90),"",OFFSET('Smelter Look-up'!$I$4,$V90-4,0))</f>
        <v>Ôita</v>
      </c>
      <c r="K90" s="273"/>
      <c r="L90" s="273"/>
      <c r="M90" s="273"/>
      <c r="N90" s="273"/>
      <c r="O90" s="273"/>
      <c r="P90" s="220"/>
      <c r="Q90" s="274"/>
      <c r="R90" s="217" t="str">
        <f ca="1">IF(ISERROR($V90),"",OFFSET('Smelter Look-up'!$C$4,$V90-4,0)&amp;"")</f>
        <v>JX Nippon Mining &amp; Metals Co., Ltd.</v>
      </c>
      <c r="S90" s="225" t="str">
        <f t="shared" ca="1" si="12"/>
        <v>JP</v>
      </c>
      <c r="T90" s="225" t="str">
        <f ca="1">IF(B90="","",IF(ISERROR(MATCH($J90,SorP!$B$1:$B$6230,0)),"",INDIRECT("'SorP'!$A$"&amp;MATCH($J90,SorP!$B$1:$B$6230,0))))</f>
        <v>JP-44</v>
      </c>
      <c r="U90" s="241"/>
      <c r="V90" s="275">
        <f ca="1">IF(C90="",NA(),MATCH($B90&amp;$C90,'Smelter Look-up'!$J:$J,0))</f>
        <v>120</v>
      </c>
      <c r="W90" s="276"/>
      <c r="X90" s="276">
        <f t="shared" ca="1" si="13"/>
        <v>0</v>
      </c>
      <c r="Y90" s="276"/>
      <c r="Z90" s="276"/>
      <c r="AB90" s="278" t="str">
        <f t="shared" ca="1" si="14"/>
        <v>GoldJX Nippon Mining &amp; Metals Co., Ltd.</v>
      </c>
    </row>
    <row r="91" spans="1:28" s="277" customFormat="1" ht="20.25">
      <c r="A91" s="450" t="s">
        <v>709</v>
      </c>
      <c r="B91" s="217" t="str">
        <f ca="1">IF(LEN(A91)=0,"",INDEX('Smelter Look-up'!$A:$A,MATCH($A91,'Smelter Look-up'!$E:$E,0)))</f>
        <v>Gold</v>
      </c>
      <c r="C91" s="221" t="str">
        <f ca="1">IF(LEN(A91)=0,"",INDEX('Smelter Look-up'!$C:$C,MATCH($A91,'Smelter Look-up'!$E:$E,0)))</f>
        <v>Kazzinc</v>
      </c>
      <c r="D91" s="283"/>
      <c r="E91" s="217" t="str">
        <f ca="1">IF(ISERROR($V91),"",OFFSET('Smelter Look-up'!$D$4,$V91-4,0)&amp;"")</f>
        <v>KAZAKHSTAN</v>
      </c>
      <c r="F91" s="217" t="str">
        <f ca="1">IF(ISERROR($V91),"",OFFSET('Smelter Look-up'!$E$4,$V91-4,0))</f>
        <v>CID000957</v>
      </c>
      <c r="G91" s="217" t="str">
        <f ca="1">IF(C91=$X$4,"Enter smelter details",IF(ISERROR($V91),"",OFFSET('Smelter Look-up'!$F$4,$V91-4,0)))</f>
        <v>RMI</v>
      </c>
      <c r="H91" s="218">
        <f ca="1">IF(ISERROR($V91),"",OFFSET('Smelter Look-up'!$G$4,$V91-4,0))</f>
        <v>0</v>
      </c>
      <c r="I91" s="219" t="str">
        <f ca="1">IF(ISERROR($V91),"",OFFSET('Smelter Look-up'!$H$4,$V91-4,0))</f>
        <v>Ust-Kamenogorsk</v>
      </c>
      <c r="J91" s="219" t="str">
        <f ca="1">IF(ISERROR($V91),"",OFFSET('Smelter Look-up'!$I$4,$V91-4,0))</f>
        <v>Qaraghandy oblysy</v>
      </c>
      <c r="K91" s="273"/>
      <c r="L91" s="273"/>
      <c r="M91" s="273"/>
      <c r="N91" s="273"/>
      <c r="O91" s="273"/>
      <c r="P91" s="220"/>
      <c r="Q91" s="274"/>
      <c r="R91" s="217" t="str">
        <f ca="1">IF(ISERROR($V91),"",OFFSET('Smelter Look-up'!$C$4,$V91-4,0)&amp;"")</f>
        <v>Kazzinc</v>
      </c>
      <c r="S91" s="225" t="str">
        <f t="shared" ca="1" si="12"/>
        <v>KZ</v>
      </c>
      <c r="T91" s="225" t="str">
        <f ca="1">IF(B91="","",IF(ISERROR(MATCH($J91,SorP!$B$1:$B$6230,0)),"",INDIRECT("'SorP'!$A$"&amp;MATCH($J91,SorP!$B$1:$B$6230,0))))</f>
        <v>KZ-KAR</v>
      </c>
      <c r="U91" s="241"/>
      <c r="V91" s="275">
        <f ca="1">IF(C91="",NA(),MATCH($B91&amp;$C91,'Smelter Look-up'!$J:$J,0))</f>
        <v>123</v>
      </c>
      <c r="W91" s="276"/>
      <c r="X91" s="276">
        <f t="shared" ca="1" si="13"/>
        <v>0</v>
      </c>
      <c r="Y91" s="276"/>
      <c r="Z91" s="276"/>
      <c r="AB91" s="278" t="str">
        <f t="shared" ca="1" si="14"/>
        <v>GoldKazzinc</v>
      </c>
    </row>
    <row r="92" spans="1:28" s="277" customFormat="1" ht="20.25">
      <c r="A92" s="450" t="s">
        <v>711</v>
      </c>
      <c r="B92" s="217" t="str">
        <f ca="1">IF(LEN(A92)=0,"",INDEX('Smelter Look-up'!$A:$A,MATCH($A92,'Smelter Look-up'!$E:$E,0)))</f>
        <v>Gold</v>
      </c>
      <c r="C92" s="221" t="str">
        <f ca="1">IF(LEN(A92)=0,"",INDEX('Smelter Look-up'!$C:$C,MATCH($A92,'Smelter Look-up'!$E:$E,0)))</f>
        <v>Kennecott Utah Copper LLC</v>
      </c>
      <c r="D92" s="283"/>
      <c r="E92" s="217" t="str">
        <f ca="1">IF(ISERROR($V92),"",OFFSET('Smelter Look-up'!$D$4,$V92-4,0)&amp;"")</f>
        <v>UNITED STATES OF AMERICA</v>
      </c>
      <c r="F92" s="217" t="str">
        <f ca="1">IF(ISERROR($V92),"",OFFSET('Smelter Look-up'!$E$4,$V92-4,0))</f>
        <v>CID000969</v>
      </c>
      <c r="G92" s="217" t="str">
        <f ca="1">IF(C92=$X$4,"Enter smelter details",IF(ISERROR($V92),"",OFFSET('Smelter Look-up'!$F$4,$V92-4,0)))</f>
        <v>RMI</v>
      </c>
      <c r="H92" s="218">
        <f ca="1">IF(ISERROR($V92),"",OFFSET('Smelter Look-up'!$G$4,$V92-4,0))</f>
        <v>0</v>
      </c>
      <c r="I92" s="219" t="str">
        <f ca="1">IF(ISERROR($V92),"",OFFSET('Smelter Look-up'!$H$4,$V92-4,0))</f>
        <v>Magna</v>
      </c>
      <c r="J92" s="219" t="str">
        <f ca="1">IF(ISERROR($V92),"",OFFSET('Smelter Look-up'!$I$4,$V92-4,0))</f>
        <v>Utah</v>
      </c>
      <c r="K92" s="273"/>
      <c r="L92" s="273"/>
      <c r="M92" s="273"/>
      <c r="N92" s="273"/>
      <c r="O92" s="273"/>
      <c r="P92" s="220"/>
      <c r="Q92" s="274"/>
      <c r="R92" s="217" t="str">
        <f ca="1">IF(ISERROR($V92),"",OFFSET('Smelter Look-up'!$C$4,$V92-4,0)&amp;"")</f>
        <v>Kennecott Utah Copper LLC</v>
      </c>
      <c r="S92" s="225" t="str">
        <f t="shared" ca="1" si="12"/>
        <v>US</v>
      </c>
      <c r="T92" s="225" t="str">
        <f ca="1">IF(B92="","",IF(ISERROR(MATCH($J92,SorP!$B$1:$B$6230,0)),"",INDIRECT("'SorP'!$A$"&amp;MATCH($J92,SorP!$B$1:$B$6230,0))))</f>
        <v>US-UT</v>
      </c>
      <c r="U92" s="241"/>
      <c r="V92" s="275">
        <f ca="1">IF(C92="",NA(),MATCH($B92&amp;$C92,'Smelter Look-up'!$J:$J,0))</f>
        <v>124</v>
      </c>
      <c r="W92" s="276"/>
      <c r="X92" s="276">
        <f t="shared" ca="1" si="13"/>
        <v>0</v>
      </c>
      <c r="Y92" s="276"/>
      <c r="Z92" s="276"/>
      <c r="AB92" s="278" t="str">
        <f t="shared" ca="1" si="14"/>
        <v>GoldKennecott Utah Copper LLC</v>
      </c>
    </row>
    <row r="93" spans="1:28" s="277" customFormat="1" ht="20.25">
      <c r="A93" s="450" t="s">
        <v>1412</v>
      </c>
      <c r="B93" s="217" t="str">
        <f ca="1">IF(LEN(A93)=0,"",INDEX('Smelter Look-up'!$A:$A,MATCH($A93,'Smelter Look-up'!$E:$E,0)))</f>
        <v>Gold</v>
      </c>
      <c r="C93" s="221" t="str">
        <f ca="1">IF(LEN(A93)=0,"",INDEX('Smelter Look-up'!$C:$C,MATCH($A93,'Smelter Look-up'!$E:$E,0)))</f>
        <v>KGHM Polska Miedz Spolka Akcyjna</v>
      </c>
      <c r="D93" s="283"/>
      <c r="E93" s="217" t="str">
        <f ca="1">IF(ISERROR($V93),"",OFFSET('Smelter Look-up'!$D$4,$V93-4,0)&amp;"")</f>
        <v>POLAND</v>
      </c>
      <c r="F93" s="217" t="str">
        <f ca="1">IF(ISERROR($V93),"",OFFSET('Smelter Look-up'!$E$4,$V93-4,0))</f>
        <v>CID002511</v>
      </c>
      <c r="G93" s="217" t="str">
        <f ca="1">IF(C93=$X$4,"Enter smelter details",IF(ISERROR($V93),"",OFFSET('Smelter Look-up'!$F$4,$V93-4,0)))</f>
        <v>RMI</v>
      </c>
      <c r="H93" s="218">
        <f ca="1">IF(ISERROR($V93),"",OFFSET('Smelter Look-up'!$G$4,$V93-4,0))</f>
        <v>0</v>
      </c>
      <c r="I93" s="219" t="str">
        <f ca="1">IF(ISERROR($V93),"",OFFSET('Smelter Look-up'!$H$4,$V93-4,0))</f>
        <v>Lubin</v>
      </c>
      <c r="J93" s="219" t="str">
        <f ca="1">IF(ISERROR($V93),"",OFFSET('Smelter Look-up'!$I$4,$V93-4,0))</f>
        <v>Dolnośląskie</v>
      </c>
      <c r="K93" s="273"/>
      <c r="L93" s="273"/>
      <c r="M93" s="273"/>
      <c r="N93" s="273"/>
      <c r="O93" s="273"/>
      <c r="P93" s="220"/>
      <c r="Q93" s="274"/>
      <c r="R93" s="217" t="str">
        <f ca="1">IF(ISERROR($V93),"",OFFSET('Smelter Look-up'!$C$4,$V93-4,0)&amp;"")</f>
        <v>KGHM Polska Miedz Spolka Akcyjna</v>
      </c>
      <c r="S93" s="225" t="str">
        <f t="shared" ca="1" si="12"/>
        <v>PL</v>
      </c>
      <c r="T93" s="225" t="str">
        <f ca="1">IF(B93="","",IF(ISERROR(MATCH($J93,SorP!$B$1:$B$6230,0)),"",INDIRECT("'SorP'!$A$"&amp;MATCH($J93,SorP!$B$1:$B$6230,0))))</f>
        <v>PL-02</v>
      </c>
      <c r="U93" s="241"/>
      <c r="V93" s="275">
        <f ca="1">IF(C93="",NA(),MATCH($B93&amp;$C93,'Smelter Look-up'!$J:$J,0))</f>
        <v>126</v>
      </c>
      <c r="W93" s="276"/>
      <c r="X93" s="276">
        <f t="shared" ca="1" si="13"/>
        <v>0</v>
      </c>
      <c r="Y93" s="276"/>
      <c r="Z93" s="276"/>
      <c r="AB93" s="278" t="str">
        <f t="shared" ca="1" si="14"/>
        <v>GoldKGHM Polska Miedz Spolka Akcyjna</v>
      </c>
    </row>
    <row r="94" spans="1:28" s="277" customFormat="1" ht="20.25">
      <c r="A94" s="450" t="s">
        <v>712</v>
      </c>
      <c r="B94" s="217" t="str">
        <f ca="1">IF(LEN(A94)=0,"",INDEX('Smelter Look-up'!$A:$A,MATCH($A94,'Smelter Look-up'!$E:$E,0)))</f>
        <v>Gold</v>
      </c>
      <c r="C94" s="221" t="str">
        <f ca="1">IF(LEN(A94)=0,"",INDEX('Smelter Look-up'!$C:$C,MATCH($A94,'Smelter Look-up'!$E:$E,0)))</f>
        <v>Kojima Chemicals Co., Ltd.</v>
      </c>
      <c r="D94" s="283"/>
      <c r="E94" s="217" t="str">
        <f ca="1">IF(ISERROR($V94),"",OFFSET('Smelter Look-up'!$D$4,$V94-4,0)&amp;"")</f>
        <v>JAPAN</v>
      </c>
      <c r="F94" s="217" t="str">
        <f ca="1">IF(ISERROR($V94),"",OFFSET('Smelter Look-up'!$E$4,$V94-4,0))</f>
        <v>CID000981</v>
      </c>
      <c r="G94" s="217" t="str">
        <f ca="1">IF(C94=$X$4,"Enter smelter details",IF(ISERROR($V94),"",OFFSET('Smelter Look-up'!$F$4,$V94-4,0)))</f>
        <v>RMI</v>
      </c>
      <c r="H94" s="218">
        <f ca="1">IF(ISERROR($V94),"",OFFSET('Smelter Look-up'!$G$4,$V94-4,0))</f>
        <v>0</v>
      </c>
      <c r="I94" s="219" t="str">
        <f ca="1">IF(ISERROR($V94),"",OFFSET('Smelter Look-up'!$H$4,$V94-4,0))</f>
        <v>Sayama</v>
      </c>
      <c r="J94" s="219" t="str">
        <f ca="1">IF(ISERROR($V94),"",OFFSET('Smelter Look-up'!$I$4,$V94-4,0))</f>
        <v>Saitama</v>
      </c>
      <c r="K94" s="273"/>
      <c r="L94" s="273"/>
      <c r="M94" s="273"/>
      <c r="N94" s="273"/>
      <c r="O94" s="273"/>
      <c r="P94" s="220"/>
      <c r="Q94" s="274"/>
      <c r="R94" s="217" t="str">
        <f ca="1">IF(ISERROR($V94),"",OFFSET('Smelter Look-up'!$C$4,$V94-4,0)&amp;"")</f>
        <v>Kojima Chemicals Co., Ltd.</v>
      </c>
      <c r="S94" s="225" t="str">
        <f t="shared" ca="1" si="12"/>
        <v>JP</v>
      </c>
      <c r="T94" s="225" t="str">
        <f ca="1">IF(B94="","",IF(ISERROR(MATCH($J94,SorP!$B$1:$B$6230,0)),"",INDIRECT("'SorP'!$A$"&amp;MATCH($J94,SorP!$B$1:$B$6230,0))))</f>
        <v>JP-11</v>
      </c>
      <c r="U94" s="241"/>
      <c r="V94" s="275">
        <f ca="1">IF(C94="",NA(),MATCH($B94&amp;$C94,'Smelter Look-up'!$J:$J,0))</f>
        <v>128</v>
      </c>
      <c r="W94" s="276"/>
      <c r="X94" s="276">
        <f t="shared" ca="1" si="13"/>
        <v>0</v>
      </c>
      <c r="Y94" s="276"/>
      <c r="Z94" s="276"/>
      <c r="AB94" s="278" t="str">
        <f t="shared" ca="1" si="14"/>
        <v>GoldKojima Chemicals Co., Ltd.</v>
      </c>
    </row>
    <row r="95" spans="1:28" s="277" customFormat="1" ht="20.25">
      <c r="A95" s="450" t="s">
        <v>1749</v>
      </c>
      <c r="B95" s="217" t="str">
        <f ca="1">IF(LEN(A95)=0,"",INDEX('Smelter Look-up'!$A:$A,MATCH($A95,'Smelter Look-up'!$E:$E,0)))</f>
        <v>Gold</v>
      </c>
      <c r="C95" s="221" t="str">
        <f ca="1">IF(LEN(A95)=0,"",INDEX('Smelter Look-up'!$C:$C,MATCH($A95,'Smelter Look-up'!$E:$E,0)))</f>
        <v>Korea Zinc Co., Ltd.</v>
      </c>
      <c r="D95" s="283"/>
      <c r="E95" s="217" t="str">
        <f ca="1">IF(ISERROR($V95),"",OFFSET('Smelter Look-up'!$D$4,$V95-4,0)&amp;"")</f>
        <v>KOREA, REPUBLIC OF</v>
      </c>
      <c r="F95" s="217" t="str">
        <f ca="1">IF(ISERROR($V95),"",OFFSET('Smelter Look-up'!$E$4,$V95-4,0))</f>
        <v>CID002605</v>
      </c>
      <c r="G95" s="217" t="str">
        <f ca="1">IF(C95=$X$4,"Enter smelter details",IF(ISERROR($V95),"",OFFSET('Smelter Look-up'!$F$4,$V95-4,0)))</f>
        <v>RMI</v>
      </c>
      <c r="H95" s="218">
        <f ca="1">IF(ISERROR($V95),"",OFFSET('Smelter Look-up'!$G$4,$V95-4,0))</f>
        <v>0</v>
      </c>
      <c r="I95" s="219" t="str">
        <f ca="1">IF(ISERROR($V95),"",OFFSET('Smelter Look-up'!$H$4,$V95-4,0))</f>
        <v>Gangnam</v>
      </c>
      <c r="J95" s="219" t="str">
        <f ca="1">IF(ISERROR($V95),"",OFFSET('Smelter Look-up'!$I$4,$V95-4,0))</f>
        <v>Seoul-teukbyeolsi</v>
      </c>
      <c r="K95" s="273"/>
      <c r="L95" s="273"/>
      <c r="M95" s="273"/>
      <c r="N95" s="273"/>
      <c r="O95" s="273"/>
      <c r="P95" s="220"/>
      <c r="Q95" s="274"/>
      <c r="R95" s="217" t="str">
        <f ca="1">IF(ISERROR($V95),"",OFFSET('Smelter Look-up'!$C$4,$V95-4,0)&amp;"")</f>
        <v>Korea Zinc Co., Ltd.</v>
      </c>
      <c r="S95" s="225" t="str">
        <f t="shared" ca="1" si="12"/>
        <v>KR</v>
      </c>
      <c r="T95" s="225" t="str">
        <f ca="1">IF(B95="","",IF(ISERROR(MATCH($J95,SorP!$B$1:$B$6230,0)),"",INDIRECT("'SorP'!$A$"&amp;MATCH($J95,SorP!$B$1:$B$6230,0))))</f>
        <v>KR-11</v>
      </c>
      <c r="U95" s="241"/>
      <c r="V95" s="275">
        <f ca="1">IF(C95="",NA(),MATCH($B95&amp;$C95,'Smelter Look-up'!$J:$J,0))</f>
        <v>131</v>
      </c>
      <c r="W95" s="276"/>
      <c r="X95" s="276">
        <f t="shared" ca="1" si="13"/>
        <v>0</v>
      </c>
      <c r="Y95" s="276"/>
      <c r="Z95" s="276"/>
      <c r="AB95" s="278" t="str">
        <f t="shared" ca="1" si="14"/>
        <v>GoldKorea Zinc Co., Ltd.</v>
      </c>
    </row>
    <row r="96" spans="1:28" s="277" customFormat="1" ht="20.25">
      <c r="A96" s="450" t="s">
        <v>713</v>
      </c>
      <c r="B96" s="217" t="str">
        <f ca="1">IF(LEN(A96)=0,"",INDEX('Smelter Look-up'!$A:$A,MATCH($A96,'Smelter Look-up'!$E:$E,0)))</f>
        <v>Gold</v>
      </c>
      <c r="C96" s="221" t="str">
        <f ca="1">IF(LEN(A96)=0,"",INDEX('Smelter Look-up'!$C:$C,MATCH($A96,'Smelter Look-up'!$E:$E,0)))</f>
        <v>Kyrgyzaltyn JSC</v>
      </c>
      <c r="D96" s="283"/>
      <c r="E96" s="217" t="str">
        <f ca="1">IF(ISERROR($V96),"",OFFSET('Smelter Look-up'!$D$4,$V96-4,0)&amp;"")</f>
        <v>KYRGYZSTAN</v>
      </c>
      <c r="F96" s="217" t="str">
        <f ca="1">IF(ISERROR($V96),"",OFFSET('Smelter Look-up'!$E$4,$V96-4,0))</f>
        <v>CID001029</v>
      </c>
      <c r="G96" s="217" t="str">
        <f ca="1">IF(C96=$X$4,"Enter smelter details",IF(ISERROR($V96),"",OFFSET('Smelter Look-up'!$F$4,$V96-4,0)))</f>
        <v>RMI</v>
      </c>
      <c r="H96" s="218">
        <f ca="1">IF(ISERROR($V96),"",OFFSET('Smelter Look-up'!$G$4,$V96-4,0))</f>
        <v>0</v>
      </c>
      <c r="I96" s="219" t="str">
        <f ca="1">IF(ISERROR($V96),"",OFFSET('Smelter Look-up'!$H$4,$V96-4,0))</f>
        <v>Bishkek</v>
      </c>
      <c r="J96" s="219" t="str">
        <f ca="1">IF(ISERROR($V96),"",OFFSET('Smelter Look-up'!$I$4,$V96-4,0))</f>
        <v>Chüy</v>
      </c>
      <c r="K96" s="273"/>
      <c r="L96" s="273"/>
      <c r="M96" s="273"/>
      <c r="N96" s="273"/>
      <c r="O96" s="273"/>
      <c r="P96" s="220"/>
      <c r="Q96" s="274"/>
      <c r="R96" s="217" t="str">
        <f ca="1">IF(ISERROR($V96),"",OFFSET('Smelter Look-up'!$C$4,$V96-4,0)&amp;"")</f>
        <v>Kyrgyzaltyn JSC</v>
      </c>
      <c r="S96" s="225" t="str">
        <f t="shared" ca="1" si="12"/>
        <v>KG</v>
      </c>
      <c r="T96" s="225" t="str">
        <f ca="1">IF(B96="","",IF(ISERROR(MATCH($J96,SorP!$B$1:$B$6230,0)),"",INDIRECT("'SorP'!$A$"&amp;MATCH($J96,SorP!$B$1:$B$6230,0))))</f>
        <v>KG-C</v>
      </c>
      <c r="U96" s="241"/>
      <c r="V96" s="275">
        <f ca="1">IF(C96="",NA(),MATCH($B96&amp;$C96,'Smelter Look-up'!$J:$J,0))</f>
        <v>134</v>
      </c>
      <c r="W96" s="276"/>
      <c r="X96" s="276">
        <f t="shared" ca="1" si="13"/>
        <v>0</v>
      </c>
      <c r="Y96" s="276"/>
      <c r="Z96" s="276"/>
      <c r="AB96" s="278" t="str">
        <f t="shared" ca="1" si="14"/>
        <v>GoldKyrgyzaltyn JSC</v>
      </c>
    </row>
    <row r="97" spans="1:28" s="277" customFormat="1" ht="20.25">
      <c r="A97" s="450" t="s">
        <v>2584</v>
      </c>
      <c r="B97" s="217" t="str">
        <f ca="1">IF(LEN(A97)=0,"",INDEX('Smelter Look-up'!$A:$A,MATCH($A97,'Smelter Look-up'!$E:$E,0)))</f>
        <v>Gold</v>
      </c>
      <c r="C97" s="221" t="str">
        <f ca="1">IF(LEN(A97)=0,"",INDEX('Smelter Look-up'!$C:$C,MATCH($A97,'Smelter Look-up'!$E:$E,0)))</f>
        <v>L'Orfebre S.A.</v>
      </c>
      <c r="D97" s="283"/>
      <c r="E97" s="217" t="str">
        <f ca="1">IF(ISERROR($V97),"",OFFSET('Smelter Look-up'!$D$4,$V97-4,0)&amp;"")</f>
        <v>ANDORRA</v>
      </c>
      <c r="F97" s="217" t="str">
        <f ca="1">IF(ISERROR($V97),"",OFFSET('Smelter Look-up'!$E$4,$V97-4,0))</f>
        <v>CID002762</v>
      </c>
      <c r="G97" s="217" t="str">
        <f ca="1">IF(C97=$X$4,"Enter smelter details",IF(ISERROR($V97),"",OFFSET('Smelter Look-up'!$F$4,$V97-4,0)))</f>
        <v>RMI</v>
      </c>
      <c r="H97" s="218">
        <f ca="1">IF(ISERROR($V97),"",OFFSET('Smelter Look-up'!$G$4,$V97-4,0))</f>
        <v>0</v>
      </c>
      <c r="I97" s="219" t="str">
        <f ca="1">IF(ISERROR($V97),"",OFFSET('Smelter Look-up'!$H$4,$V97-4,0))</f>
        <v>Andorra la Vella</v>
      </c>
      <c r="J97" s="219" t="str">
        <f ca="1">IF(ISERROR($V97),"",OFFSET('Smelter Look-up'!$I$4,$V97-4,0))</f>
        <v>Andorra la Vella</v>
      </c>
      <c r="K97" s="273"/>
      <c r="L97" s="273"/>
      <c r="M97" s="273"/>
      <c r="N97" s="273"/>
      <c r="O97" s="273"/>
      <c r="P97" s="220"/>
      <c r="Q97" s="274"/>
      <c r="R97" s="217" t="str">
        <f ca="1">IF(ISERROR($V97),"",OFFSET('Smelter Look-up'!$C$4,$V97-4,0)&amp;"")</f>
        <v>L'Orfebre S.A.</v>
      </c>
      <c r="S97" s="225" t="str">
        <f t="shared" ca="1" si="12"/>
        <v>AD</v>
      </c>
      <c r="T97" s="225" t="str">
        <f ca="1">IF(B97="","",IF(ISERROR(MATCH($J97,SorP!$B$1:$B$6230,0)),"",INDIRECT("'SorP'!$A$"&amp;MATCH($J97,SorP!$B$1:$B$6230,0))))</f>
        <v>AD-07</v>
      </c>
      <c r="U97" s="241"/>
      <c r="V97" s="275">
        <f ca="1">IF(C97="",NA(),MATCH($B97&amp;$C97,'Smelter Look-up'!$J:$J,0))</f>
        <v>142</v>
      </c>
      <c r="W97" s="276"/>
      <c r="X97" s="276">
        <f t="shared" ca="1" si="13"/>
        <v>0</v>
      </c>
      <c r="Y97" s="276"/>
      <c r="Z97" s="276"/>
      <c r="AB97" s="278" t="str">
        <f t="shared" ca="1" si="14"/>
        <v>GoldL'Orfebre S.A.</v>
      </c>
    </row>
    <row r="98" spans="1:28" s="277" customFormat="1" ht="20.25">
      <c r="A98" s="450" t="s">
        <v>716</v>
      </c>
      <c r="B98" s="217" t="str">
        <f ca="1">IF(LEN(A98)=0,"",INDEX('Smelter Look-up'!$A:$A,MATCH($A98,'Smelter Look-up'!$E:$E,0)))</f>
        <v>Gold</v>
      </c>
      <c r="C98" s="221" t="str">
        <f ca="1">IF(LEN(A98)=0,"",INDEX('Smelter Look-up'!$C:$C,MATCH($A98,'Smelter Look-up'!$E:$E,0)))</f>
        <v>LS-NIKKO Copper Inc.</v>
      </c>
      <c r="D98" s="283"/>
      <c r="E98" s="217" t="str">
        <f ca="1">IF(ISERROR($V98),"",OFFSET('Smelter Look-up'!$D$4,$V98-4,0)&amp;"")</f>
        <v>KOREA, REPUBLIC OF</v>
      </c>
      <c r="F98" s="217" t="str">
        <f ca="1">IF(ISERROR($V98),"",OFFSET('Smelter Look-up'!$E$4,$V98-4,0))</f>
        <v>CID001078</v>
      </c>
      <c r="G98" s="217" t="str">
        <f ca="1">IF(C98=$X$4,"Enter smelter details",IF(ISERROR($V98),"",OFFSET('Smelter Look-up'!$F$4,$V98-4,0)))</f>
        <v>RMI</v>
      </c>
      <c r="H98" s="218">
        <f ca="1">IF(ISERROR($V98),"",OFFSET('Smelter Look-up'!$G$4,$V98-4,0))</f>
        <v>0</v>
      </c>
      <c r="I98" s="219" t="str">
        <f ca="1">IF(ISERROR($V98),"",OFFSET('Smelter Look-up'!$H$4,$V98-4,0))</f>
        <v>Onsan-eup</v>
      </c>
      <c r="J98" s="219" t="str">
        <f ca="1">IF(ISERROR($V98),"",OFFSET('Smelter Look-up'!$I$4,$V98-4,0))</f>
        <v>Ulsan-gwangyeoksi</v>
      </c>
      <c r="K98" s="273"/>
      <c r="L98" s="273"/>
      <c r="M98" s="273"/>
      <c r="N98" s="273"/>
      <c r="O98" s="273"/>
      <c r="P98" s="220"/>
      <c r="Q98" s="274"/>
      <c r="R98" s="217" t="str">
        <f ca="1">IF(ISERROR($V98),"",OFFSET('Smelter Look-up'!$C$4,$V98-4,0)&amp;"")</f>
        <v>LS-NIKKO Copper Inc.</v>
      </c>
      <c r="S98" s="225" t="str">
        <f t="shared" ca="1" si="12"/>
        <v>KR</v>
      </c>
      <c r="T98" s="225" t="str">
        <f ca="1">IF(B98="","",IF(ISERROR(MATCH($J98,SorP!$B$1:$B$6230,0)),"",INDIRECT("'SorP'!$A$"&amp;MATCH($J98,SorP!$B$1:$B$6230,0))))</f>
        <v>KR-31</v>
      </c>
      <c r="U98" s="241"/>
      <c r="V98" s="275">
        <f ca="1">IF(C98="",NA(),MATCH($B98&amp;$C98,'Smelter Look-up'!$J:$J,0))</f>
        <v>143</v>
      </c>
      <c r="W98" s="276"/>
      <c r="X98" s="276">
        <f t="shared" ca="1" si="13"/>
        <v>0</v>
      </c>
      <c r="Y98" s="276"/>
      <c r="Z98" s="276"/>
      <c r="AB98" s="278" t="str">
        <f t="shared" ca="1" si="14"/>
        <v>GoldLS-NIKKO Copper Inc.</v>
      </c>
    </row>
    <row r="99" spans="1:28" s="277" customFormat="1" ht="20.25">
      <c r="A99" s="450" t="s">
        <v>2656</v>
      </c>
      <c r="B99" s="217" t="str">
        <f ca="1">IF(LEN(A99)=0,"",INDEX('Smelter Look-up'!$A:$A,MATCH($A99,'Smelter Look-up'!$E:$E,0)))</f>
        <v>Gold</v>
      </c>
      <c r="C99" s="221" t="str">
        <f ca="1">IF(LEN(A99)=0,"",INDEX('Smelter Look-up'!$C:$C,MATCH($A99,'Smelter Look-up'!$E:$E,0)))</f>
        <v>Marsam Metals</v>
      </c>
      <c r="D99" s="283"/>
      <c r="E99" s="217" t="str">
        <f ca="1">IF(ISERROR($V99),"",OFFSET('Smelter Look-up'!$D$4,$V99-4,0)&amp;"")</f>
        <v>BRAZIL</v>
      </c>
      <c r="F99" s="217" t="str">
        <f ca="1">IF(ISERROR($V99),"",OFFSET('Smelter Look-up'!$E$4,$V99-4,0))</f>
        <v>CID002606</v>
      </c>
      <c r="G99" s="217" t="str">
        <f ca="1">IF(C99=$X$4,"Enter smelter details",IF(ISERROR($V99),"",OFFSET('Smelter Look-up'!$F$4,$V99-4,0)))</f>
        <v>RMI</v>
      </c>
      <c r="H99" s="218">
        <f ca="1">IF(ISERROR($V99),"",OFFSET('Smelter Look-up'!$G$4,$V99-4,0))</f>
        <v>0</v>
      </c>
      <c r="I99" s="219" t="str">
        <f ca="1">IF(ISERROR($V99),"",OFFSET('Smelter Look-up'!$H$4,$V99-4,0))</f>
        <v>Sao Paulo</v>
      </c>
      <c r="J99" s="219" t="str">
        <f ca="1">IF(ISERROR($V99),"",OFFSET('Smelter Look-up'!$I$4,$V99-4,0))</f>
        <v>São Paulo</v>
      </c>
      <c r="K99" s="273"/>
      <c r="L99" s="273"/>
      <c r="M99" s="273"/>
      <c r="N99" s="273"/>
      <c r="O99" s="273"/>
      <c r="P99" s="220"/>
      <c r="Q99" s="274"/>
      <c r="R99" s="217" t="str">
        <f ca="1">IF(ISERROR($V99),"",OFFSET('Smelter Look-up'!$C$4,$V99-4,0)&amp;"")</f>
        <v>Marsam Metals</v>
      </c>
      <c r="S99" s="225" t="str">
        <f t="shared" ca="1" si="12"/>
        <v>BR</v>
      </c>
      <c r="T99" s="225" t="str">
        <f ca="1">IF(B99="","",IF(ISERROR(MATCH($J99,SorP!$B$1:$B$6230,0)),"",INDIRECT("'SorP'!$A$"&amp;MATCH($J99,SorP!$B$1:$B$6230,0))))</f>
        <v>BR-SP</v>
      </c>
      <c r="U99" s="241"/>
      <c r="V99" s="275">
        <f ca="1">IF(C99="",NA(),MATCH($B99&amp;$C99,'Smelter Look-up'!$J:$J,0))</f>
        <v>148</v>
      </c>
      <c r="W99" s="276"/>
      <c r="X99" s="276">
        <f t="shared" ca="1" si="13"/>
        <v>0</v>
      </c>
      <c r="Y99" s="276"/>
      <c r="Z99" s="276"/>
      <c r="AB99" s="278" t="str">
        <f t="shared" ca="1" si="14"/>
        <v>GoldMarsam Metals</v>
      </c>
    </row>
    <row r="100" spans="1:28" s="277" customFormat="1" ht="20.25">
      <c r="A100" s="450" t="s">
        <v>719</v>
      </c>
      <c r="B100" s="217" t="str">
        <f ca="1">IF(LEN(A100)=0,"",INDEX('Smelter Look-up'!$A:$A,MATCH($A100,'Smelter Look-up'!$E:$E,0)))</f>
        <v>Gold</v>
      </c>
      <c r="C100" s="221" t="str">
        <f ca="1">IF(LEN(A100)=0,"",INDEX('Smelter Look-up'!$C:$C,MATCH($A100,'Smelter Look-up'!$E:$E,0)))</f>
        <v>Materion</v>
      </c>
      <c r="D100" s="283"/>
      <c r="E100" s="217" t="str">
        <f ca="1">IF(ISERROR($V100),"",OFFSET('Smelter Look-up'!$D$4,$V100-4,0)&amp;"")</f>
        <v>UNITED STATES OF AMERICA</v>
      </c>
      <c r="F100" s="217" t="str">
        <f ca="1">IF(ISERROR($V100),"",OFFSET('Smelter Look-up'!$E$4,$V100-4,0))</f>
        <v>CID001113</v>
      </c>
      <c r="G100" s="217" t="str">
        <f ca="1">IF(C100=$X$4,"Enter smelter details",IF(ISERROR($V100),"",OFFSET('Smelter Look-up'!$F$4,$V100-4,0)))</f>
        <v>RMI</v>
      </c>
      <c r="H100" s="218">
        <f ca="1">IF(ISERROR($V100),"",OFFSET('Smelter Look-up'!$G$4,$V100-4,0))</f>
        <v>0</v>
      </c>
      <c r="I100" s="219" t="str">
        <f ca="1">IF(ISERROR($V100),"",OFFSET('Smelter Look-up'!$H$4,$V100-4,0))</f>
        <v>Buffalo</v>
      </c>
      <c r="J100" s="219" t="str">
        <f ca="1">IF(ISERROR($V100),"",OFFSET('Smelter Look-up'!$I$4,$V100-4,0))</f>
        <v>New York</v>
      </c>
      <c r="K100" s="273"/>
      <c r="L100" s="273"/>
      <c r="M100" s="273"/>
      <c r="N100" s="273"/>
      <c r="O100" s="273"/>
      <c r="P100" s="220"/>
      <c r="Q100" s="274"/>
      <c r="R100" s="217" t="str">
        <f ca="1">IF(ISERROR($V100),"",OFFSET('Smelter Look-up'!$C$4,$V100-4,0)&amp;"")</f>
        <v>Materion</v>
      </c>
      <c r="S100" s="225" t="str">
        <f t="shared" ca="1" si="12"/>
        <v>US</v>
      </c>
      <c r="T100" s="225" t="str">
        <f ca="1">IF(B100="","",IF(ISERROR(MATCH($J100,SorP!$B$1:$B$6230,0)),"",INDIRECT("'SorP'!$A$"&amp;MATCH($J100,SorP!$B$1:$B$6230,0))))</f>
        <v>US-NY</v>
      </c>
      <c r="U100" s="241"/>
      <c r="V100" s="275">
        <f ca="1">IF(C100="",NA(),MATCH($B100&amp;$C100,'Smelter Look-up'!$J:$J,0))</f>
        <v>149</v>
      </c>
      <c r="W100" s="276"/>
      <c r="X100" s="276">
        <f t="shared" ca="1" si="13"/>
        <v>0</v>
      </c>
      <c r="Y100" s="276"/>
      <c r="Z100" s="276"/>
      <c r="AB100" s="278" t="str">
        <f t="shared" ca="1" si="14"/>
        <v>GoldMaterion</v>
      </c>
    </row>
    <row r="101" spans="1:28" s="277" customFormat="1" ht="20.25">
      <c r="A101" s="450" t="s">
        <v>720</v>
      </c>
      <c r="B101" s="217" t="str">
        <f ca="1">IF(LEN(A101)=0,"",INDEX('Smelter Look-up'!$A:$A,MATCH($A101,'Smelter Look-up'!$E:$E,0)))</f>
        <v>Gold</v>
      </c>
      <c r="C101" s="221" t="str">
        <f ca="1">IF(LEN(A101)=0,"",INDEX('Smelter Look-up'!$C:$C,MATCH($A101,'Smelter Look-up'!$E:$E,0)))</f>
        <v>Matsuda Sangyo Co., Ltd.</v>
      </c>
      <c r="D101" s="283"/>
      <c r="E101" s="217" t="str">
        <f ca="1">IF(ISERROR($V101),"",OFFSET('Smelter Look-up'!$D$4,$V101-4,0)&amp;"")</f>
        <v>JAPAN</v>
      </c>
      <c r="F101" s="217" t="str">
        <f ca="1">IF(ISERROR($V101),"",OFFSET('Smelter Look-up'!$E$4,$V101-4,0))</f>
        <v>CID001119</v>
      </c>
      <c r="G101" s="217" t="str">
        <f ca="1">IF(C101=$X$4,"Enter smelter details",IF(ISERROR($V101),"",OFFSET('Smelter Look-up'!$F$4,$V101-4,0)))</f>
        <v>RMI</v>
      </c>
      <c r="H101" s="218">
        <f ca="1">IF(ISERROR($V101),"",OFFSET('Smelter Look-up'!$G$4,$V101-4,0))</f>
        <v>0</v>
      </c>
      <c r="I101" s="219" t="str">
        <f ca="1">IF(ISERROR($V101),"",OFFSET('Smelter Look-up'!$H$4,$V101-4,0))</f>
        <v>Iruma</v>
      </c>
      <c r="J101" s="219" t="str">
        <f ca="1">IF(ISERROR($V101),"",OFFSET('Smelter Look-up'!$I$4,$V101-4,0))</f>
        <v>Saitama</v>
      </c>
      <c r="K101" s="273"/>
      <c r="L101" s="273"/>
      <c r="M101" s="273"/>
      <c r="N101" s="273"/>
      <c r="O101" s="273"/>
      <c r="P101" s="220"/>
      <c r="Q101" s="274"/>
      <c r="R101" s="217" t="str">
        <f ca="1">IF(ISERROR($V101),"",OFFSET('Smelter Look-up'!$C$4,$V101-4,0)&amp;"")</f>
        <v>Matsuda Sangyo Co., Ltd.</v>
      </c>
      <c r="S101" s="225" t="str">
        <f t="shared" ca="1" si="12"/>
        <v>JP</v>
      </c>
      <c r="T101" s="225" t="str">
        <f ca="1">IF(B101="","",IF(ISERROR(MATCH($J101,SorP!$B$1:$B$6230,0)),"",INDIRECT("'SorP'!$A$"&amp;MATCH($J101,SorP!$B$1:$B$6230,0))))</f>
        <v>JP-11</v>
      </c>
      <c r="U101" s="241"/>
      <c r="V101" s="275">
        <f ca="1">IF(C101="",NA(),MATCH($B101&amp;$C101,'Smelter Look-up'!$J:$J,0))</f>
        <v>150</v>
      </c>
      <c r="W101" s="276"/>
      <c r="X101" s="276">
        <f t="shared" ca="1" si="13"/>
        <v>0</v>
      </c>
      <c r="Y101" s="276"/>
      <c r="Z101" s="276"/>
      <c r="AB101" s="278" t="str">
        <f t="shared" ca="1" si="14"/>
        <v>GoldMatsuda Sangyo Co., Ltd.</v>
      </c>
    </row>
    <row r="102" spans="1:28" s="277" customFormat="1" ht="20.25">
      <c r="A102" s="450" t="s">
        <v>721</v>
      </c>
      <c r="B102" s="217" t="str">
        <f ca="1">IF(LEN(A102)=0,"",INDEX('Smelter Look-up'!$A:$A,MATCH($A102,'Smelter Look-up'!$E:$E,0)))</f>
        <v>Gold</v>
      </c>
      <c r="C102" s="221" t="str">
        <f ca="1">IF(LEN(A102)=0,"",INDEX('Smelter Look-up'!$C:$C,MATCH($A102,'Smelter Look-up'!$E:$E,0)))</f>
        <v>Metalor Technologies (Hong Kong) Ltd.</v>
      </c>
      <c r="D102" s="283"/>
      <c r="E102" s="217" t="str">
        <f ca="1">IF(ISERROR($V102),"",OFFSET('Smelter Look-up'!$D$4,$V102-4,0)&amp;"")</f>
        <v>CHINA</v>
      </c>
      <c r="F102" s="217" t="str">
        <f ca="1">IF(ISERROR($V102),"",OFFSET('Smelter Look-up'!$E$4,$V102-4,0))</f>
        <v>CID001149</v>
      </c>
      <c r="G102" s="217" t="str">
        <f ca="1">IF(C102=$X$4,"Enter smelter details",IF(ISERROR($V102),"",OFFSET('Smelter Look-up'!$F$4,$V102-4,0)))</f>
        <v>RMI</v>
      </c>
      <c r="H102" s="218">
        <f ca="1">IF(ISERROR($V102),"",OFFSET('Smelter Look-up'!$G$4,$V102-4,0))</f>
        <v>0</v>
      </c>
      <c r="I102" s="219" t="str">
        <f ca="1">IF(ISERROR($V102),"",OFFSET('Smelter Look-up'!$H$4,$V102-4,0))</f>
        <v>Kwai Chung</v>
      </c>
      <c r="J102" s="219" t="str">
        <f ca="1">IF(ISERROR($V102),"",OFFSET('Smelter Look-up'!$I$4,$V102-4,0))</f>
        <v>Hong Kong SAR</v>
      </c>
      <c r="K102" s="273"/>
      <c r="L102" s="273"/>
      <c r="M102" s="273"/>
      <c r="N102" s="273"/>
      <c r="O102" s="273"/>
      <c r="P102" s="220"/>
      <c r="Q102" s="274"/>
      <c r="R102" s="217" t="str">
        <f ca="1">IF(ISERROR($V102),"",OFFSET('Smelter Look-up'!$C$4,$V102-4,0)&amp;"")</f>
        <v>Metalor Technologies (Hong Kong) Ltd.</v>
      </c>
      <c r="S102" s="225" t="str">
        <f t="shared" ref="S102:S132" ca="1" si="15">IF(B102="","",IF(ISERROR(MATCH($E102,CL,0)),"Unknown",INDIRECT("'C'!$A$"&amp;MATCH($E102,CL,0)+1)))</f>
        <v>CN</v>
      </c>
      <c r="T102" s="225" t="str">
        <f ca="1">IF(B102="","",IF(ISERROR(MATCH($J102,SorP!$B$1:$B$6230,0)),"",INDIRECT("'SorP'!$A$"&amp;MATCH($J102,SorP!$B$1:$B$6230,0))))</f>
        <v>CN-HK</v>
      </c>
      <c r="U102" s="241"/>
      <c r="V102" s="275">
        <f ca="1">IF(C102="",NA(),MATCH($B102&amp;$C102,'Smelter Look-up'!$J:$J,0))</f>
        <v>155</v>
      </c>
      <c r="W102" s="276"/>
      <c r="X102" s="276">
        <f t="shared" ref="X102:X132" ca="1" si="16">IF(AND(C102="Smelter not listed",OR(LEN(D102)=0,LEN(E102)=0)),1,0)</f>
        <v>0</v>
      </c>
      <c r="Y102" s="276"/>
      <c r="Z102" s="276"/>
      <c r="AB102" s="278" t="str">
        <f t="shared" ref="AB102:AB132" ca="1" si="17">B102&amp;C102</f>
        <v>GoldMetalor Technologies (Hong Kong) Ltd.</v>
      </c>
    </row>
    <row r="103" spans="1:28" s="277" customFormat="1" ht="20.25">
      <c r="A103" s="450" t="s">
        <v>722</v>
      </c>
      <c r="B103" s="217" t="str">
        <f ca="1">IF(LEN(A103)=0,"",INDEX('Smelter Look-up'!$A:$A,MATCH($A103,'Smelter Look-up'!$E:$E,0)))</f>
        <v>Gold</v>
      </c>
      <c r="C103" s="221" t="str">
        <f ca="1">IF(LEN(A103)=0,"",INDEX('Smelter Look-up'!$C:$C,MATCH($A103,'Smelter Look-up'!$E:$E,0)))</f>
        <v>Metalor Technologies (Singapore) Pte., Ltd.</v>
      </c>
      <c r="D103" s="283"/>
      <c r="E103" s="217" t="str">
        <f ca="1">IF(ISERROR($V103),"",OFFSET('Smelter Look-up'!$D$4,$V103-4,0)&amp;"")</f>
        <v>SINGAPORE</v>
      </c>
      <c r="F103" s="217" t="str">
        <f ca="1">IF(ISERROR($V103),"",OFFSET('Smelter Look-up'!$E$4,$V103-4,0))</f>
        <v>CID001152</v>
      </c>
      <c r="G103" s="217" t="str">
        <f ca="1">IF(C103=$X$4,"Enter smelter details",IF(ISERROR($V103),"",OFFSET('Smelter Look-up'!$F$4,$V103-4,0)))</f>
        <v>RMI</v>
      </c>
      <c r="H103" s="218">
        <f ca="1">IF(ISERROR($V103),"",OFFSET('Smelter Look-up'!$G$4,$V103-4,0))</f>
        <v>0</v>
      </c>
      <c r="I103" s="219" t="str">
        <f ca="1">IF(ISERROR($V103),"",OFFSET('Smelter Look-up'!$H$4,$V103-4,0))</f>
        <v>Singapore</v>
      </c>
      <c r="J103" s="219" t="str">
        <f ca="1">IF(ISERROR($V103),"",OFFSET('Smelter Look-up'!$I$4,$V103-4,0))</f>
        <v>South West</v>
      </c>
      <c r="K103" s="273"/>
      <c r="L103" s="273"/>
      <c r="M103" s="273"/>
      <c r="N103" s="273"/>
      <c r="O103" s="273"/>
      <c r="P103" s="220"/>
      <c r="Q103" s="274"/>
      <c r="R103" s="217" t="str">
        <f ca="1">IF(ISERROR($V103),"",OFFSET('Smelter Look-up'!$C$4,$V103-4,0)&amp;"")</f>
        <v>Metalor Technologies (Singapore) Pte., Ltd.</v>
      </c>
      <c r="S103" s="225" t="str">
        <f t="shared" ca="1" si="15"/>
        <v>SG</v>
      </c>
      <c r="T103" s="225" t="str">
        <f ca="1">IF(B103="","",IF(ISERROR(MATCH($J103,SorP!$B$1:$B$6230,0)),"",INDIRECT("'SorP'!$A$"&amp;MATCH($J103,SorP!$B$1:$B$6230,0))))</f>
        <v>SG-05</v>
      </c>
      <c r="U103" s="241"/>
      <c r="V103" s="275">
        <f ca="1">IF(C103="",NA(),MATCH($B103&amp;$C103,'Smelter Look-up'!$J:$J,0))</f>
        <v>156</v>
      </c>
      <c r="W103" s="276"/>
      <c r="X103" s="276">
        <f t="shared" ca="1" si="16"/>
        <v>0</v>
      </c>
      <c r="Y103" s="276"/>
      <c r="Z103" s="276"/>
      <c r="AB103" s="278" t="str">
        <f t="shared" ca="1" si="17"/>
        <v>GoldMetalor Technologies (Singapore) Pte., Ltd.</v>
      </c>
    </row>
    <row r="104" spans="1:28" s="277" customFormat="1" ht="20.25">
      <c r="A104" s="450" t="s">
        <v>1650</v>
      </c>
      <c r="B104" s="217" t="str">
        <f ca="1">IF(LEN(A104)=0,"",INDEX('Smelter Look-up'!$A:$A,MATCH($A104,'Smelter Look-up'!$E:$E,0)))</f>
        <v>Gold</v>
      </c>
      <c r="C104" s="221" t="str">
        <f ca="1">IF(LEN(A104)=0,"",INDEX('Smelter Look-up'!$C:$C,MATCH($A104,'Smelter Look-up'!$E:$E,0)))</f>
        <v>Metalor Technologies (Suzhou) Ltd.</v>
      </c>
      <c r="D104" s="283"/>
      <c r="E104" s="217" t="str">
        <f ca="1">IF(ISERROR($V104),"",OFFSET('Smelter Look-up'!$D$4,$V104-4,0)&amp;"")</f>
        <v>CHINA</v>
      </c>
      <c r="F104" s="217" t="str">
        <f ca="1">IF(ISERROR($V104),"",OFFSET('Smelter Look-up'!$E$4,$V104-4,0))</f>
        <v>CID001147</v>
      </c>
      <c r="G104" s="217" t="str">
        <f ca="1">IF(C104=$X$4,"Enter smelter details",IF(ISERROR($V104),"",OFFSET('Smelter Look-up'!$F$4,$V104-4,0)))</f>
        <v>RMI</v>
      </c>
      <c r="H104" s="218">
        <f ca="1">IF(ISERROR($V104),"",OFFSET('Smelter Look-up'!$G$4,$V104-4,0))</f>
        <v>0</v>
      </c>
      <c r="I104" s="219" t="str">
        <f ca="1">IF(ISERROR($V104),"",OFFSET('Smelter Look-up'!$H$4,$V104-4,0))</f>
        <v>Suzhou</v>
      </c>
      <c r="J104" s="219" t="str">
        <f ca="1">IF(ISERROR($V104),"",OFFSET('Smelter Look-up'!$I$4,$V104-4,0))</f>
        <v>Jiangsu Sheng</v>
      </c>
      <c r="K104" s="273"/>
      <c r="L104" s="273"/>
      <c r="M104" s="273"/>
      <c r="N104" s="273"/>
      <c r="O104" s="273"/>
      <c r="P104" s="220"/>
      <c r="Q104" s="274"/>
      <c r="R104" s="217" t="str">
        <f ca="1">IF(ISERROR($V104),"",OFFSET('Smelter Look-up'!$C$4,$V104-4,0)&amp;"")</f>
        <v>Metalor Technologies (Suzhou) Ltd.</v>
      </c>
      <c r="S104" s="225" t="str">
        <f t="shared" ca="1" si="15"/>
        <v>CN</v>
      </c>
      <c r="T104" s="225" t="str">
        <f ca="1">IF(B104="","",IF(ISERROR(MATCH($J104,SorP!$B$1:$B$6230,0)),"",INDIRECT("'SorP'!$A$"&amp;MATCH($J104,SorP!$B$1:$B$6230,0))))</f>
        <v>CN-JS</v>
      </c>
      <c r="U104" s="241"/>
      <c r="V104" s="275">
        <f ca="1">IF(C104="",NA(),MATCH($B104&amp;$C104,'Smelter Look-up'!$J:$J,0))</f>
        <v>157</v>
      </c>
      <c r="W104" s="276"/>
      <c r="X104" s="276">
        <f t="shared" ca="1" si="16"/>
        <v>0</v>
      </c>
      <c r="Y104" s="276"/>
      <c r="Z104" s="276"/>
      <c r="AB104" s="278" t="str">
        <f t="shared" ca="1" si="17"/>
        <v>GoldMetalor Technologies (Suzhou) Ltd.</v>
      </c>
    </row>
    <row r="105" spans="1:28" s="277" customFormat="1" ht="20.25">
      <c r="A105" s="450" t="s">
        <v>723</v>
      </c>
      <c r="B105" s="217" t="str">
        <f ca="1">IF(LEN(A105)=0,"",INDEX('Smelter Look-up'!$A:$A,MATCH($A105,'Smelter Look-up'!$E:$E,0)))</f>
        <v>Gold</v>
      </c>
      <c r="C105" s="221" t="str">
        <f ca="1">IF(LEN(A105)=0,"",INDEX('Smelter Look-up'!$C:$C,MATCH($A105,'Smelter Look-up'!$E:$E,0)))</f>
        <v>Metalor Technologies S.A.</v>
      </c>
      <c r="D105" s="283"/>
      <c r="E105" s="217" t="str">
        <f ca="1">IF(ISERROR($V105),"",OFFSET('Smelter Look-up'!$D$4,$V105-4,0)&amp;"")</f>
        <v>SWITZERLAND</v>
      </c>
      <c r="F105" s="217" t="str">
        <f ca="1">IF(ISERROR($V105),"",OFFSET('Smelter Look-up'!$E$4,$V105-4,0))</f>
        <v>CID001153</v>
      </c>
      <c r="G105" s="217" t="str">
        <f ca="1">IF(C105=$X$4,"Enter smelter details",IF(ISERROR($V105),"",OFFSET('Smelter Look-up'!$F$4,$V105-4,0)))</f>
        <v>RMI</v>
      </c>
      <c r="H105" s="218">
        <f ca="1">IF(ISERROR($V105),"",OFFSET('Smelter Look-up'!$G$4,$V105-4,0))</f>
        <v>0</v>
      </c>
      <c r="I105" s="219" t="str">
        <f ca="1">IF(ISERROR($V105),"",OFFSET('Smelter Look-up'!$H$4,$V105-4,0))</f>
        <v>Marin</v>
      </c>
      <c r="J105" s="219" t="str">
        <f ca="1">IF(ISERROR($V105),"",OFFSET('Smelter Look-up'!$I$4,$V105-4,0))</f>
        <v>Neuchâtel</v>
      </c>
      <c r="K105" s="273"/>
      <c r="L105" s="273"/>
      <c r="M105" s="273"/>
      <c r="N105" s="273"/>
      <c r="O105" s="273"/>
      <c r="P105" s="220"/>
      <c r="Q105" s="274"/>
      <c r="R105" s="217" t="str">
        <f ca="1">IF(ISERROR($V105),"",OFFSET('Smelter Look-up'!$C$4,$V105-4,0)&amp;"")</f>
        <v>Metalor Technologies S.A.</v>
      </c>
      <c r="S105" s="225" t="str">
        <f t="shared" ca="1" si="15"/>
        <v>CH</v>
      </c>
      <c r="T105" s="225" t="str">
        <f ca="1">IF(B105="","",IF(ISERROR(MATCH($J105,SorP!$B$1:$B$6230,0)),"",INDIRECT("'SorP'!$A$"&amp;MATCH($J105,SorP!$B$1:$B$6230,0))))</f>
        <v>CH-NE</v>
      </c>
      <c r="U105" s="241"/>
      <c r="V105" s="275">
        <f ca="1">IF(C105="",NA(),MATCH($B105&amp;$C105,'Smelter Look-up'!$J:$J,0))</f>
        <v>158</v>
      </c>
      <c r="W105" s="276"/>
      <c r="X105" s="276">
        <f t="shared" ca="1" si="16"/>
        <v>0</v>
      </c>
      <c r="Y105" s="276"/>
      <c r="Z105" s="276"/>
      <c r="AB105" s="278" t="str">
        <f t="shared" ca="1" si="17"/>
        <v>GoldMetalor Technologies S.A.</v>
      </c>
    </row>
    <row r="106" spans="1:28" s="277" customFormat="1" ht="20.25">
      <c r="A106" s="450" t="s">
        <v>724</v>
      </c>
      <c r="B106" s="217" t="str">
        <f ca="1">IF(LEN(A106)=0,"",INDEX('Smelter Look-up'!$A:$A,MATCH($A106,'Smelter Look-up'!$E:$E,0)))</f>
        <v>Gold</v>
      </c>
      <c r="C106" s="221" t="str">
        <f ca="1">IF(LEN(A106)=0,"",INDEX('Smelter Look-up'!$C:$C,MATCH($A106,'Smelter Look-up'!$E:$E,0)))</f>
        <v>Metalor USA Refining Corporation</v>
      </c>
      <c r="D106" s="283"/>
      <c r="E106" s="217" t="str">
        <f ca="1">IF(ISERROR($V106),"",OFFSET('Smelter Look-up'!$D$4,$V106-4,0)&amp;"")</f>
        <v>UNITED STATES OF AMERICA</v>
      </c>
      <c r="F106" s="217" t="str">
        <f ca="1">IF(ISERROR($V106),"",OFFSET('Smelter Look-up'!$E$4,$V106-4,0))</f>
        <v>CID001157</v>
      </c>
      <c r="G106" s="217" t="str">
        <f ca="1">IF(C106=$X$4,"Enter smelter details",IF(ISERROR($V106),"",OFFSET('Smelter Look-up'!$F$4,$V106-4,0)))</f>
        <v>RMI</v>
      </c>
      <c r="H106" s="218">
        <f ca="1">IF(ISERROR($V106),"",OFFSET('Smelter Look-up'!$G$4,$V106-4,0))</f>
        <v>0</v>
      </c>
      <c r="I106" s="219" t="str">
        <f ca="1">IF(ISERROR($V106),"",OFFSET('Smelter Look-up'!$H$4,$V106-4,0))</f>
        <v>North Attleboro</v>
      </c>
      <c r="J106" s="219" t="str">
        <f ca="1">IF(ISERROR($V106),"",OFFSET('Smelter Look-up'!$I$4,$V106-4,0))</f>
        <v>Massachusetts</v>
      </c>
      <c r="K106" s="273"/>
      <c r="L106" s="273"/>
      <c r="M106" s="273"/>
      <c r="N106" s="273"/>
      <c r="O106" s="273"/>
      <c r="P106" s="220"/>
      <c r="Q106" s="274"/>
      <c r="R106" s="217" t="str">
        <f ca="1">IF(ISERROR($V106),"",OFFSET('Smelter Look-up'!$C$4,$V106-4,0)&amp;"")</f>
        <v>Metalor USA Refining Corporation</v>
      </c>
      <c r="S106" s="225" t="str">
        <f t="shared" ca="1" si="15"/>
        <v>US</v>
      </c>
      <c r="T106" s="225" t="str">
        <f ca="1">IF(B106="","",IF(ISERROR(MATCH($J106,SorP!$B$1:$B$6230,0)),"",INDIRECT("'SorP'!$A$"&amp;MATCH($J106,SorP!$B$1:$B$6230,0))))</f>
        <v>US-MA</v>
      </c>
      <c r="U106" s="241"/>
      <c r="V106" s="275">
        <f ca="1">IF(C106="",NA(),MATCH($B106&amp;$C106,'Smelter Look-up'!$J:$J,0))</f>
        <v>159</v>
      </c>
      <c r="W106" s="276"/>
      <c r="X106" s="276">
        <f t="shared" ca="1" si="16"/>
        <v>0</v>
      </c>
      <c r="Y106" s="276"/>
      <c r="Z106" s="276"/>
      <c r="AB106" s="278" t="str">
        <f t="shared" ca="1" si="17"/>
        <v>GoldMetalor USA Refining Corporation</v>
      </c>
    </row>
    <row r="107" spans="1:28" s="277" customFormat="1" ht="20.25">
      <c r="A107" s="450" t="s">
        <v>725</v>
      </c>
      <c r="B107" s="217" t="str">
        <f ca="1">IF(LEN(A107)=0,"",INDEX('Smelter Look-up'!$A:$A,MATCH($A107,'Smelter Look-up'!$E:$E,0)))</f>
        <v>Gold</v>
      </c>
      <c r="C107" s="221" t="str">
        <f ca="1">IF(LEN(A107)=0,"",INDEX('Smelter Look-up'!$C:$C,MATCH($A107,'Smelter Look-up'!$E:$E,0)))</f>
        <v>Metalurgica Met-Mex Penoles S.A. De C.V.</v>
      </c>
      <c r="D107" s="283"/>
      <c r="E107" s="217" t="str">
        <f ca="1">IF(ISERROR($V107),"",OFFSET('Smelter Look-up'!$D$4,$V107-4,0)&amp;"")</f>
        <v>MEXICO</v>
      </c>
      <c r="F107" s="217" t="str">
        <f ca="1">IF(ISERROR($V107),"",OFFSET('Smelter Look-up'!$E$4,$V107-4,0))</f>
        <v>CID001161</v>
      </c>
      <c r="G107" s="217" t="str">
        <f ca="1">IF(C107=$X$4,"Enter smelter details",IF(ISERROR($V107),"",OFFSET('Smelter Look-up'!$F$4,$V107-4,0)))</f>
        <v>RMI</v>
      </c>
      <c r="H107" s="218">
        <f ca="1">IF(ISERROR($V107),"",OFFSET('Smelter Look-up'!$G$4,$V107-4,0))</f>
        <v>0</v>
      </c>
      <c r="I107" s="219" t="str">
        <f ca="1">IF(ISERROR($V107),"",OFFSET('Smelter Look-up'!$H$4,$V107-4,0))</f>
        <v>Torreon</v>
      </c>
      <c r="J107" s="219" t="str">
        <f ca="1">IF(ISERROR($V107),"",OFFSET('Smelter Look-up'!$I$4,$V107-4,0))</f>
        <v>Coahuila de Zaragoza</v>
      </c>
      <c r="K107" s="273"/>
      <c r="L107" s="273"/>
      <c r="M107" s="273"/>
      <c r="N107" s="273"/>
      <c r="O107" s="273"/>
      <c r="P107" s="220"/>
      <c r="Q107" s="274"/>
      <c r="R107" s="217" t="str">
        <f ca="1">IF(ISERROR($V107),"",OFFSET('Smelter Look-up'!$C$4,$V107-4,0)&amp;"")</f>
        <v>Metalurgica Met-Mex Penoles S.A. De C.V.</v>
      </c>
      <c r="S107" s="225" t="str">
        <f t="shared" ca="1" si="15"/>
        <v>MX</v>
      </c>
      <c r="T107" s="225" t="str">
        <f ca="1">IF(B107="","",IF(ISERROR(MATCH($J107,SorP!$B$1:$B$6230,0)),"",INDIRECT("'SorP'!$A$"&amp;MATCH($J107,SorP!$B$1:$B$6230,0))))</f>
        <v>MX-COA</v>
      </c>
      <c r="U107" s="241"/>
      <c r="V107" s="275">
        <f ca="1">IF(C107="",NA(),MATCH($B107&amp;$C107,'Smelter Look-up'!$J:$J,0))</f>
        <v>160</v>
      </c>
      <c r="W107" s="276"/>
      <c r="X107" s="276">
        <f t="shared" ca="1" si="16"/>
        <v>0</v>
      </c>
      <c r="Y107" s="276"/>
      <c r="Z107" s="276"/>
      <c r="AB107" s="278" t="str">
        <f t="shared" ca="1" si="17"/>
        <v>GoldMetalurgica Met-Mex Penoles S.A. De C.V.</v>
      </c>
    </row>
    <row r="108" spans="1:28" s="277" customFormat="1" ht="20.25">
      <c r="A108" s="450" t="s">
        <v>726</v>
      </c>
      <c r="B108" s="217" t="str">
        <f ca="1">IF(LEN(A108)=0,"",INDEX('Smelter Look-up'!$A:$A,MATCH($A108,'Smelter Look-up'!$E:$E,0)))</f>
        <v>Gold</v>
      </c>
      <c r="C108" s="221" t="str">
        <f ca="1">IF(LEN(A108)=0,"",INDEX('Smelter Look-up'!$C:$C,MATCH($A108,'Smelter Look-up'!$E:$E,0)))</f>
        <v>Mitsubishi Materials Corporation</v>
      </c>
      <c r="D108" s="283"/>
      <c r="E108" s="217" t="str">
        <f ca="1">IF(ISERROR($V108),"",OFFSET('Smelter Look-up'!$D$4,$V108-4,0)&amp;"")</f>
        <v>JAPAN</v>
      </c>
      <c r="F108" s="217" t="str">
        <f ca="1">IF(ISERROR($V108),"",OFFSET('Smelter Look-up'!$E$4,$V108-4,0))</f>
        <v>CID001188</v>
      </c>
      <c r="G108" s="217" t="str">
        <f ca="1">IF(C108=$X$4,"Enter smelter details",IF(ISERROR($V108),"",OFFSET('Smelter Look-up'!$F$4,$V108-4,0)))</f>
        <v>RMI</v>
      </c>
      <c r="H108" s="218">
        <f ca="1">IF(ISERROR($V108),"",OFFSET('Smelter Look-up'!$G$4,$V108-4,0))</f>
        <v>0</v>
      </c>
      <c r="I108" s="219" t="str">
        <f ca="1">IF(ISERROR($V108),"",OFFSET('Smelter Look-up'!$H$4,$V108-4,0))</f>
        <v>Naoshima</v>
      </c>
      <c r="J108" s="219" t="str">
        <f ca="1">IF(ISERROR($V108),"",OFFSET('Smelter Look-up'!$I$4,$V108-4,0))</f>
        <v>Kagawa</v>
      </c>
      <c r="K108" s="273"/>
      <c r="L108" s="273"/>
      <c r="M108" s="273"/>
      <c r="N108" s="273"/>
      <c r="O108" s="273"/>
      <c r="P108" s="220"/>
      <c r="Q108" s="274"/>
      <c r="R108" s="217" t="str">
        <f ca="1">IF(ISERROR($V108),"",OFFSET('Smelter Look-up'!$C$4,$V108-4,0)&amp;"")</f>
        <v>Mitsubishi Materials Corporation</v>
      </c>
      <c r="S108" s="225" t="str">
        <f t="shared" ca="1" si="15"/>
        <v>JP</v>
      </c>
      <c r="T108" s="225" t="str">
        <f ca="1">IF(B108="","",IF(ISERROR(MATCH($J108,SorP!$B$1:$B$6230,0)),"",INDIRECT("'SorP'!$A$"&amp;MATCH($J108,SorP!$B$1:$B$6230,0))))</f>
        <v>JP-37</v>
      </c>
      <c r="U108" s="241"/>
      <c r="V108" s="275">
        <f ca="1">IF(C108="",NA(),MATCH($B108&amp;$C108,'Smelter Look-up'!$J:$J,0))</f>
        <v>164</v>
      </c>
      <c r="W108" s="276"/>
      <c r="X108" s="276">
        <f t="shared" ca="1" si="16"/>
        <v>0</v>
      </c>
      <c r="Y108" s="276"/>
      <c r="Z108" s="276"/>
      <c r="AB108" s="278" t="str">
        <f t="shared" ca="1" si="17"/>
        <v>GoldMitsubishi Materials Corporation</v>
      </c>
    </row>
    <row r="109" spans="1:28" s="277" customFormat="1" ht="20.25">
      <c r="A109" s="450" t="s">
        <v>727</v>
      </c>
      <c r="B109" s="217" t="str">
        <f ca="1">IF(LEN(A109)=0,"",INDEX('Smelter Look-up'!$A:$A,MATCH($A109,'Smelter Look-up'!$E:$E,0)))</f>
        <v>Gold</v>
      </c>
      <c r="C109" s="221" t="str">
        <f ca="1">IF(LEN(A109)=0,"",INDEX('Smelter Look-up'!$C:$C,MATCH($A109,'Smelter Look-up'!$E:$E,0)))</f>
        <v>Mitsui Mining and Smelting Co., Ltd.</v>
      </c>
      <c r="D109" s="283"/>
      <c r="E109" s="217" t="str">
        <f ca="1">IF(ISERROR($V109),"",OFFSET('Smelter Look-up'!$D$4,$V109-4,0)&amp;"")</f>
        <v>JAPAN</v>
      </c>
      <c r="F109" s="217" t="str">
        <f ca="1">IF(ISERROR($V109),"",OFFSET('Smelter Look-up'!$E$4,$V109-4,0))</f>
        <v>CID001193</v>
      </c>
      <c r="G109" s="217" t="str">
        <f ca="1">IF(C109=$X$4,"Enter smelter details",IF(ISERROR($V109),"",OFFSET('Smelter Look-up'!$F$4,$V109-4,0)))</f>
        <v>RMI</v>
      </c>
      <c r="H109" s="218">
        <f ca="1">IF(ISERROR($V109),"",OFFSET('Smelter Look-up'!$G$4,$V109-4,0))</f>
        <v>0</v>
      </c>
      <c r="I109" s="219" t="str">
        <f ca="1">IF(ISERROR($V109),"",OFFSET('Smelter Look-up'!$H$4,$V109-4,0))</f>
        <v>Takehara</v>
      </c>
      <c r="J109" s="219" t="str">
        <f ca="1">IF(ISERROR($V109),"",OFFSET('Smelter Look-up'!$I$4,$V109-4,0))</f>
        <v>Hiroshima</v>
      </c>
      <c r="K109" s="273"/>
      <c r="L109" s="273"/>
      <c r="M109" s="273"/>
      <c r="N109" s="273"/>
      <c r="O109" s="273"/>
      <c r="P109" s="220"/>
      <c r="Q109" s="274"/>
      <c r="R109" s="217" t="str">
        <f ca="1">IF(ISERROR($V109),"",OFFSET('Smelter Look-up'!$C$4,$V109-4,0)&amp;"")</f>
        <v>Mitsui Mining and Smelting Co., Ltd.</v>
      </c>
      <c r="S109" s="225" t="str">
        <f t="shared" ca="1" si="15"/>
        <v>JP</v>
      </c>
      <c r="T109" s="225" t="str">
        <f ca="1">IF(B109="","",IF(ISERROR(MATCH($J109,SorP!$B$1:$B$6230,0)),"",INDIRECT("'SorP'!$A$"&amp;MATCH($J109,SorP!$B$1:$B$6230,0))))</f>
        <v>JP-34</v>
      </c>
      <c r="U109" s="241"/>
      <c r="V109" s="275">
        <f ca="1">IF(C109="",NA(),MATCH($B109&amp;$C109,'Smelter Look-up'!$J:$J,0))</f>
        <v>166</v>
      </c>
      <c r="W109" s="276"/>
      <c r="X109" s="276">
        <f t="shared" ca="1" si="16"/>
        <v>0</v>
      </c>
      <c r="Y109" s="276"/>
      <c r="Z109" s="276"/>
      <c r="AB109" s="278" t="str">
        <f t="shared" ca="1" si="17"/>
        <v>GoldMitsui Mining and Smelting Co., Ltd.</v>
      </c>
    </row>
    <row r="110" spans="1:28" s="277" customFormat="1" ht="20.25">
      <c r="A110" s="450" t="s">
        <v>1414</v>
      </c>
      <c r="B110" s="217" t="str">
        <f ca="1">IF(LEN(A110)=0,"",INDEX('Smelter Look-up'!$A:$A,MATCH($A110,'Smelter Look-up'!$E:$E,0)))</f>
        <v>Gold</v>
      </c>
      <c r="C110" s="221" t="str">
        <f ca="1">IF(LEN(A110)=0,"",INDEX('Smelter Look-up'!$C:$C,MATCH($A110,'Smelter Look-up'!$E:$E,0)))</f>
        <v>MMTC-PAMP India Pvt., Ltd.</v>
      </c>
      <c r="D110" s="283"/>
      <c r="E110" s="217" t="str">
        <f ca="1">IF(ISERROR($V110),"",OFFSET('Smelter Look-up'!$D$4,$V110-4,0)&amp;"")</f>
        <v>INDIA</v>
      </c>
      <c r="F110" s="217" t="str">
        <f ca="1">IF(ISERROR($V110),"",OFFSET('Smelter Look-up'!$E$4,$V110-4,0))</f>
        <v>CID002509</v>
      </c>
      <c r="G110" s="217" t="str">
        <f ca="1">IF(C110=$X$4,"Enter smelter details",IF(ISERROR($V110),"",OFFSET('Smelter Look-up'!$F$4,$V110-4,0)))</f>
        <v>RMI</v>
      </c>
      <c r="H110" s="218">
        <f ca="1">IF(ISERROR($V110),"",OFFSET('Smelter Look-up'!$G$4,$V110-4,0))</f>
        <v>0</v>
      </c>
      <c r="I110" s="219" t="str">
        <f ca="1">IF(ISERROR($V110),"",OFFSET('Smelter Look-up'!$H$4,$V110-4,0))</f>
        <v>Mewat</v>
      </c>
      <c r="J110" s="219" t="str">
        <f ca="1">IF(ISERROR($V110),"",OFFSET('Smelter Look-up'!$I$4,$V110-4,0))</f>
        <v>Haryana</v>
      </c>
      <c r="K110" s="273"/>
      <c r="L110" s="273"/>
      <c r="M110" s="273"/>
      <c r="N110" s="273"/>
      <c r="O110" s="273"/>
      <c r="P110" s="220"/>
      <c r="Q110" s="274"/>
      <c r="R110" s="217" t="str">
        <f ca="1">IF(ISERROR($V110),"",OFFSET('Smelter Look-up'!$C$4,$V110-4,0)&amp;"")</f>
        <v>MMTC-PAMP India Pvt., Ltd.</v>
      </c>
      <c r="S110" s="225" t="str">
        <f t="shared" ca="1" si="15"/>
        <v>IN</v>
      </c>
      <c r="T110" s="225" t="str">
        <f ca="1">IF(B110="","",IF(ISERROR(MATCH($J110,SorP!$B$1:$B$6230,0)),"",INDIRECT("'SorP'!$A$"&amp;MATCH($J110,SorP!$B$1:$B$6230,0))))</f>
        <v>IN-HR</v>
      </c>
      <c r="U110" s="241"/>
      <c r="V110" s="275">
        <f ca="1">IF(C110="",NA(),MATCH($B110&amp;$C110,'Smelter Look-up'!$J:$J,0))</f>
        <v>167</v>
      </c>
      <c r="W110" s="276"/>
      <c r="X110" s="276">
        <f t="shared" ca="1" si="16"/>
        <v>0</v>
      </c>
      <c r="Y110" s="276"/>
      <c r="Z110" s="276"/>
      <c r="AB110" s="278" t="str">
        <f t="shared" ca="1" si="17"/>
        <v>GoldMMTC-PAMP India Pvt., Ltd.</v>
      </c>
    </row>
    <row r="111" spans="1:28" s="277" customFormat="1" ht="20.25">
      <c r="A111" s="450" t="s">
        <v>728</v>
      </c>
      <c r="B111" s="217" t="str">
        <f ca="1">IF(LEN(A111)=0,"",INDEX('Smelter Look-up'!$A:$A,MATCH($A111,'Smelter Look-up'!$E:$E,0)))</f>
        <v>Gold</v>
      </c>
      <c r="C111" s="221" t="str">
        <f ca="1">IF(LEN(A111)=0,"",INDEX('Smelter Look-up'!$C:$C,MATCH($A111,'Smelter Look-up'!$E:$E,0)))</f>
        <v>Moscow Special Alloys Processing Plant</v>
      </c>
      <c r="D111" s="283"/>
      <c r="E111" s="217" t="str">
        <f ca="1">IF(ISERROR($V111),"",OFFSET('Smelter Look-up'!$D$4,$V111-4,0)&amp;"")</f>
        <v>RUSSIAN FEDERATION</v>
      </c>
      <c r="F111" s="217" t="str">
        <f ca="1">IF(ISERROR($V111),"",OFFSET('Smelter Look-up'!$E$4,$V111-4,0))</f>
        <v>CID001204</v>
      </c>
      <c r="G111" s="217" t="str">
        <f ca="1">IF(C111=$X$4,"Enter smelter details",IF(ISERROR($V111),"",OFFSET('Smelter Look-up'!$F$4,$V111-4,0)))</f>
        <v>RMI</v>
      </c>
      <c r="H111" s="218">
        <f ca="1">IF(ISERROR($V111),"",OFFSET('Smelter Look-up'!$G$4,$V111-4,0))</f>
        <v>0</v>
      </c>
      <c r="I111" s="219" t="str">
        <f ca="1">IF(ISERROR($V111),"",OFFSET('Smelter Look-up'!$H$4,$V111-4,0))</f>
        <v>Obrucheva</v>
      </c>
      <c r="J111" s="219" t="str">
        <f ca="1">IF(ISERROR($V111),"",OFFSET('Smelter Look-up'!$I$4,$V111-4,0))</f>
        <v>Moskva</v>
      </c>
      <c r="K111" s="273"/>
      <c r="L111" s="273"/>
      <c r="M111" s="273"/>
      <c r="N111" s="273"/>
      <c r="O111" s="273"/>
      <c r="P111" s="220"/>
      <c r="Q111" s="274"/>
      <c r="R111" s="217" t="str">
        <f ca="1">IF(ISERROR($V111),"",OFFSET('Smelter Look-up'!$C$4,$V111-4,0)&amp;"")</f>
        <v>Moscow Special Alloys Processing Plant</v>
      </c>
      <c r="S111" s="225" t="str">
        <f t="shared" ca="1" si="15"/>
        <v>RU</v>
      </c>
      <c r="T111" s="225" t="str">
        <f ca="1">IF(B111="","",IF(ISERROR(MATCH($J111,SorP!$B$1:$B$6230,0)),"",INDIRECT("'SorP'!$A$"&amp;MATCH($J111,SorP!$B$1:$B$6230,0))))</f>
        <v>RU-MOW</v>
      </c>
      <c r="U111" s="241"/>
      <c r="V111" s="275">
        <f ca="1">IF(C111="",NA(),MATCH($B111&amp;$C111,'Smelter Look-up'!$J:$J,0))</f>
        <v>170</v>
      </c>
      <c r="W111" s="276"/>
      <c r="X111" s="276">
        <f t="shared" ca="1" si="16"/>
        <v>0</v>
      </c>
      <c r="Y111" s="276"/>
      <c r="Z111" s="276"/>
      <c r="AB111" s="278" t="str">
        <f t="shared" ca="1" si="17"/>
        <v>GoldMoscow Special Alloys Processing Plant</v>
      </c>
    </row>
    <row r="112" spans="1:28" s="277" customFormat="1" ht="20.25">
      <c r="A112" s="450" t="s">
        <v>729</v>
      </c>
      <c r="B112" s="217" t="str">
        <f ca="1">IF(LEN(A112)=0,"",INDEX('Smelter Look-up'!$A:$A,MATCH($A112,'Smelter Look-up'!$E:$E,0)))</f>
        <v>Gold</v>
      </c>
      <c r="C112" s="221" t="str">
        <f ca="1">IF(LEN(A112)=0,"",INDEX('Smelter Look-up'!$C:$C,MATCH($A112,'Smelter Look-up'!$E:$E,0)))</f>
        <v>Nadir Metal Rafineri San. Ve Tic. A.S.</v>
      </c>
      <c r="D112" s="283"/>
      <c r="E112" s="217" t="str">
        <f ca="1">IF(ISERROR($V112),"",OFFSET('Smelter Look-up'!$D$4,$V112-4,0)&amp;"")</f>
        <v>TURKEY</v>
      </c>
      <c r="F112" s="217" t="str">
        <f ca="1">IF(ISERROR($V112),"",OFFSET('Smelter Look-up'!$E$4,$V112-4,0))</f>
        <v>CID001220</v>
      </c>
      <c r="G112" s="217" t="str">
        <f ca="1">IF(C112=$X$4,"Enter smelter details",IF(ISERROR($V112),"",OFFSET('Smelter Look-up'!$F$4,$V112-4,0)))</f>
        <v>RMI</v>
      </c>
      <c r="H112" s="218">
        <f ca="1">IF(ISERROR($V112),"",OFFSET('Smelter Look-up'!$G$4,$V112-4,0))</f>
        <v>0</v>
      </c>
      <c r="I112" s="219" t="str">
        <f ca="1">IF(ISERROR($V112),"",OFFSET('Smelter Look-up'!$H$4,$V112-4,0))</f>
        <v>Bahçelievler</v>
      </c>
      <c r="J112" s="219" t="str">
        <f ca="1">IF(ISERROR($V112),"",OFFSET('Smelter Look-up'!$I$4,$V112-4,0))</f>
        <v>İstanbul</v>
      </c>
      <c r="K112" s="273"/>
      <c r="L112" s="273"/>
      <c r="M112" s="273"/>
      <c r="N112" s="273"/>
      <c r="O112" s="273"/>
      <c r="P112" s="220"/>
      <c r="Q112" s="274"/>
      <c r="R112" s="217" t="str">
        <f ca="1">IF(ISERROR($V112),"",OFFSET('Smelter Look-up'!$C$4,$V112-4,0)&amp;"")</f>
        <v>Nadir Metal Rafineri San. Ve Tic. A.S.</v>
      </c>
      <c r="S112" s="225" t="str">
        <f t="shared" ca="1" si="15"/>
        <v>TR</v>
      </c>
      <c r="T112" s="225" t="str">
        <f ca="1">IF(B112="","",IF(ISERROR(MATCH($J112,SorP!$B$1:$B$6230,0)),"",INDIRECT("'SorP'!$A$"&amp;MATCH($J112,SorP!$B$1:$B$6230,0))))</f>
        <v>TR-34</v>
      </c>
      <c r="U112" s="241"/>
      <c r="V112" s="275">
        <f ca="1">IF(C112="",NA(),MATCH($B112&amp;$C112,'Smelter Look-up'!$J:$J,0))</f>
        <v>171</v>
      </c>
      <c r="W112" s="276"/>
      <c r="X112" s="276">
        <f t="shared" ca="1" si="16"/>
        <v>0</v>
      </c>
      <c r="Y112" s="276"/>
      <c r="Z112" s="276"/>
      <c r="AB112" s="278" t="str">
        <f t="shared" ca="1" si="17"/>
        <v>GoldNadir Metal Rafineri San. Ve Tic. A.S.</v>
      </c>
    </row>
    <row r="113" spans="1:28" s="277" customFormat="1" ht="20.25">
      <c r="A113" s="450" t="s">
        <v>731</v>
      </c>
      <c r="B113" s="217" t="str">
        <f ca="1">IF(LEN(A113)=0,"",INDEX('Smelter Look-up'!$A:$A,MATCH($A113,'Smelter Look-up'!$E:$E,0)))</f>
        <v>Gold</v>
      </c>
      <c r="C113" s="221" t="str">
        <f ca="1">IF(LEN(A113)=0,"",INDEX('Smelter Look-up'!$C:$C,MATCH($A113,'Smelter Look-up'!$E:$E,0)))</f>
        <v>Nihon Material Co., Ltd.</v>
      </c>
      <c r="D113" s="283"/>
      <c r="E113" s="217" t="str">
        <f ca="1">IF(ISERROR($V113),"",OFFSET('Smelter Look-up'!$D$4,$V113-4,0)&amp;"")</f>
        <v>JAPAN</v>
      </c>
      <c r="F113" s="217" t="str">
        <f ca="1">IF(ISERROR($V113),"",OFFSET('Smelter Look-up'!$E$4,$V113-4,0))</f>
        <v>CID001259</v>
      </c>
      <c r="G113" s="217" t="str">
        <f ca="1">IF(C113=$X$4,"Enter smelter details",IF(ISERROR($V113),"",OFFSET('Smelter Look-up'!$F$4,$V113-4,0)))</f>
        <v>RMI</v>
      </c>
      <c r="H113" s="218">
        <f ca="1">IF(ISERROR($V113),"",OFFSET('Smelter Look-up'!$G$4,$V113-4,0))</f>
        <v>0</v>
      </c>
      <c r="I113" s="219" t="str">
        <f ca="1">IF(ISERROR($V113),"",OFFSET('Smelter Look-up'!$H$4,$V113-4,0))</f>
        <v>Noda</v>
      </c>
      <c r="J113" s="219" t="str">
        <f ca="1">IF(ISERROR($V113),"",OFFSET('Smelter Look-up'!$I$4,$V113-4,0))</f>
        <v>Chiba</v>
      </c>
      <c r="K113" s="273"/>
      <c r="L113" s="273"/>
      <c r="M113" s="273"/>
      <c r="N113" s="273"/>
      <c r="O113" s="273"/>
      <c r="P113" s="220"/>
      <c r="Q113" s="274"/>
      <c r="R113" s="217" t="str">
        <f ca="1">IF(ISERROR($V113),"",OFFSET('Smelter Look-up'!$C$4,$V113-4,0)&amp;"")</f>
        <v>Nihon Material Co., Ltd.</v>
      </c>
      <c r="S113" s="225" t="str">
        <f t="shared" ca="1" si="15"/>
        <v>JP</v>
      </c>
      <c r="T113" s="225" t="str">
        <f ca="1">IF(B113="","",IF(ISERROR(MATCH($J113,SorP!$B$1:$B$6230,0)),"",INDIRECT("'SorP'!$A$"&amp;MATCH($J113,SorP!$B$1:$B$6230,0))))</f>
        <v>JP-12</v>
      </c>
      <c r="U113" s="241"/>
      <c r="V113" s="275">
        <f ca="1">IF(C113="",NA(),MATCH($B113&amp;$C113,'Smelter Look-up'!$J:$J,0))</f>
        <v>175</v>
      </c>
      <c r="W113" s="276"/>
      <c r="X113" s="276">
        <f t="shared" ca="1" si="16"/>
        <v>0</v>
      </c>
      <c r="Y113" s="276"/>
      <c r="Z113" s="276"/>
      <c r="AB113" s="278" t="str">
        <f t="shared" ca="1" si="17"/>
        <v>GoldNihon Material Co., Ltd.</v>
      </c>
    </row>
    <row r="114" spans="1:28" s="277" customFormat="1" ht="20.25">
      <c r="A114" s="450" t="s">
        <v>2316</v>
      </c>
      <c r="B114" s="217" t="str">
        <f ca="1">IF(LEN(A114)=0,"",INDEX('Smelter Look-up'!$A:$A,MATCH($A114,'Smelter Look-up'!$E:$E,0)))</f>
        <v>Gold</v>
      </c>
      <c r="C114" s="221" t="str">
        <f ca="1">IF(LEN(A114)=0,"",INDEX('Smelter Look-up'!$C:$C,MATCH($A114,'Smelter Look-up'!$E:$E,0)))</f>
        <v>Ogussa Osterreichische Gold- und Silber-Scheideanstalt GmbH</v>
      </c>
      <c r="D114" s="283"/>
      <c r="E114" s="217" t="str">
        <f ca="1">IF(ISERROR($V114),"",OFFSET('Smelter Look-up'!$D$4,$V114-4,0)&amp;"")</f>
        <v>AUSTRIA</v>
      </c>
      <c r="F114" s="217" t="str">
        <f ca="1">IF(ISERROR($V114),"",OFFSET('Smelter Look-up'!$E$4,$V114-4,0))</f>
        <v>CID002779</v>
      </c>
      <c r="G114" s="217" t="str">
        <f ca="1">IF(C114=$X$4,"Enter smelter details",IF(ISERROR($V114),"",OFFSET('Smelter Look-up'!$F$4,$V114-4,0)))</f>
        <v>RMI</v>
      </c>
      <c r="H114" s="218">
        <f ca="1">IF(ISERROR($V114),"",OFFSET('Smelter Look-up'!$G$4,$V114-4,0))</f>
        <v>0</v>
      </c>
      <c r="I114" s="219" t="str">
        <f ca="1">IF(ISERROR($V114),"",OFFSET('Smelter Look-up'!$H$4,$V114-4,0))</f>
        <v>Vienna</v>
      </c>
      <c r="J114" s="219" t="str">
        <f ca="1">IF(ISERROR($V114),"",OFFSET('Smelter Look-up'!$I$4,$V114-4,0))</f>
        <v>Wien</v>
      </c>
      <c r="K114" s="273"/>
      <c r="L114" s="273"/>
      <c r="M114" s="273"/>
      <c r="N114" s="273"/>
      <c r="O114" s="273"/>
      <c r="P114" s="220"/>
      <c r="Q114" s="274"/>
      <c r="R114" s="217" t="str">
        <f ca="1">IF(ISERROR($V114),"",OFFSET('Smelter Look-up'!$C$4,$V114-4,0)&amp;"")</f>
        <v>Ogussa Osterreichische Gold- und Silber-Scheideanstalt GmbH</v>
      </c>
      <c r="S114" s="225" t="str">
        <f t="shared" ca="1" si="15"/>
        <v>AT</v>
      </c>
      <c r="T114" s="225" t="str">
        <f ca="1">IF(B114="","",IF(ISERROR(MATCH($J114,SorP!$B$1:$B$6230,0)),"",INDIRECT("'SorP'!$A$"&amp;MATCH($J114,SorP!$B$1:$B$6230,0))))</f>
        <v>AT-9</v>
      </c>
      <c r="U114" s="241"/>
      <c r="V114" s="275">
        <f ca="1">IF(C114="",NA(),MATCH($B114&amp;$C114,'Smelter Look-up'!$J:$J,0))</f>
        <v>178</v>
      </c>
      <c r="W114" s="276"/>
      <c r="X114" s="276">
        <f t="shared" ca="1" si="16"/>
        <v>0</v>
      </c>
      <c r="Y114" s="276"/>
      <c r="Z114" s="276"/>
      <c r="AB114" s="278" t="str">
        <f t="shared" ca="1" si="17"/>
        <v>GoldOgussa Osterreichische Gold- und Silber-Scheideanstalt GmbH</v>
      </c>
    </row>
    <row r="115" spans="1:28" s="277" customFormat="1" ht="20.25">
      <c r="A115" s="450" t="s">
        <v>732</v>
      </c>
      <c r="B115" s="217" t="str">
        <f ca="1">IF(LEN(A115)=0,"",INDEX('Smelter Look-up'!$A:$A,MATCH($A115,'Smelter Look-up'!$E:$E,0)))</f>
        <v>Gold</v>
      </c>
      <c r="C115" s="221" t="str">
        <f ca="1">IF(LEN(A115)=0,"",INDEX('Smelter Look-up'!$C:$C,MATCH($A115,'Smelter Look-up'!$E:$E,0)))</f>
        <v>Ohura Precious Metal Industry Co., Ltd.</v>
      </c>
      <c r="D115" s="283"/>
      <c r="E115" s="217" t="str">
        <f ca="1">IF(ISERROR($V115),"",OFFSET('Smelter Look-up'!$D$4,$V115-4,0)&amp;"")</f>
        <v>JAPAN</v>
      </c>
      <c r="F115" s="217" t="str">
        <f ca="1">IF(ISERROR($V115),"",OFFSET('Smelter Look-up'!$E$4,$V115-4,0))</f>
        <v>CID001325</v>
      </c>
      <c r="G115" s="217" t="str">
        <f ca="1">IF(C115=$X$4,"Enter smelter details",IF(ISERROR($V115),"",OFFSET('Smelter Look-up'!$F$4,$V115-4,0)))</f>
        <v>RMI</v>
      </c>
      <c r="H115" s="218">
        <f ca="1">IF(ISERROR($V115),"",OFFSET('Smelter Look-up'!$G$4,$V115-4,0))</f>
        <v>0</v>
      </c>
      <c r="I115" s="219" t="str">
        <f ca="1">IF(ISERROR($V115),"",OFFSET('Smelter Look-up'!$H$4,$V115-4,0))</f>
        <v>Nara-shi</v>
      </c>
      <c r="J115" s="219" t="str">
        <f ca="1">IF(ISERROR($V115),"",OFFSET('Smelter Look-up'!$I$4,$V115-4,0))</f>
        <v>Nara</v>
      </c>
      <c r="K115" s="273"/>
      <c r="L115" s="273"/>
      <c r="M115" s="273"/>
      <c r="N115" s="273"/>
      <c r="O115" s="273"/>
      <c r="P115" s="220"/>
      <c r="Q115" s="274"/>
      <c r="R115" s="217" t="str">
        <f ca="1">IF(ISERROR($V115),"",OFFSET('Smelter Look-up'!$C$4,$V115-4,0)&amp;"")</f>
        <v>Ohura Precious Metal Industry Co., Ltd.</v>
      </c>
      <c r="S115" s="225" t="str">
        <f t="shared" ca="1" si="15"/>
        <v>JP</v>
      </c>
      <c r="T115" s="225" t="str">
        <f ca="1">IF(B115="","",IF(ISERROR(MATCH($J115,SorP!$B$1:$B$6230,0)),"",INDIRECT("'SorP'!$A$"&amp;MATCH($J115,SorP!$B$1:$B$6230,0))))</f>
        <v>JP-29</v>
      </c>
      <c r="U115" s="241"/>
      <c r="V115" s="275">
        <f ca="1">IF(C115="",NA(),MATCH($B115&amp;$C115,'Smelter Look-up'!$J:$J,0))</f>
        <v>180</v>
      </c>
      <c r="W115" s="276"/>
      <c r="X115" s="276">
        <f t="shared" ca="1" si="16"/>
        <v>0</v>
      </c>
      <c r="Y115" s="276"/>
      <c r="Z115" s="276"/>
      <c r="AB115" s="278" t="str">
        <f t="shared" ca="1" si="17"/>
        <v>GoldOhura Precious Metal Industry Co., Ltd.</v>
      </c>
    </row>
    <row r="116" spans="1:28" s="277" customFormat="1" ht="20.25">
      <c r="A116" s="450" t="s">
        <v>733</v>
      </c>
      <c r="B116" s="217" t="str">
        <f ca="1">IF(LEN(A116)=0,"",INDEX('Smelter Look-up'!$A:$A,MATCH($A116,'Smelter Look-up'!$E:$E,0)))</f>
        <v>Gold</v>
      </c>
      <c r="C116" s="221" t="str">
        <f ca="1">IF(LEN(A116)=0,"",INDEX('Smelter Look-up'!$C:$C,MATCH($A116,'Smelter Look-up'!$E:$E,0)))</f>
        <v>OJSC "The Gulidov Krasnoyarsk Non-Ferrous Metals Plant" (OJSC Krastsvetmet)</v>
      </c>
      <c r="D116" s="283"/>
      <c r="E116" s="217" t="str">
        <f ca="1">IF(ISERROR($V116),"",OFFSET('Smelter Look-up'!$D$4,$V116-4,0)&amp;"")</f>
        <v>RUSSIAN FEDERATION</v>
      </c>
      <c r="F116" s="217" t="str">
        <f ca="1">IF(ISERROR($V116),"",OFFSET('Smelter Look-up'!$E$4,$V116-4,0))</f>
        <v>CID001326</v>
      </c>
      <c r="G116" s="217" t="str">
        <f ca="1">IF(C116=$X$4,"Enter smelter details",IF(ISERROR($V116),"",OFFSET('Smelter Look-up'!$F$4,$V116-4,0)))</f>
        <v>RMI</v>
      </c>
      <c r="H116" s="218">
        <f ca="1">IF(ISERROR($V116),"",OFFSET('Smelter Look-up'!$G$4,$V116-4,0))</f>
        <v>0</v>
      </c>
      <c r="I116" s="219" t="str">
        <f ca="1">IF(ISERROR($V116),"",OFFSET('Smelter Look-up'!$H$4,$V116-4,0))</f>
        <v>Krasnoyarsk</v>
      </c>
      <c r="J116" s="219" t="str">
        <f ca="1">IF(ISERROR($V116),"",OFFSET('Smelter Look-up'!$I$4,$V116-4,0))</f>
        <v>Krasnoyarskiy kray</v>
      </c>
      <c r="K116" s="273"/>
      <c r="L116" s="273"/>
      <c r="M116" s="273"/>
      <c r="N116" s="273"/>
      <c r="O116" s="273"/>
      <c r="P116" s="220"/>
      <c r="Q116" s="274"/>
      <c r="R116" s="217" t="str">
        <f ca="1">IF(ISERROR($V116),"",OFFSET('Smelter Look-up'!$C$4,$V116-4,0)&amp;"")</f>
        <v>OJSC "The Gulidov Krasnoyarsk Non-Ferrous Metals Plant" (OJSC Krastsvetmet)</v>
      </c>
      <c r="S116" s="225" t="str">
        <f t="shared" ca="1" si="15"/>
        <v>RU</v>
      </c>
      <c r="T116" s="225" t="str">
        <f ca="1">IF(B116="","",IF(ISERROR(MATCH($J116,SorP!$B$1:$B$6230,0)),"",INDIRECT("'SorP'!$A$"&amp;MATCH($J116,SorP!$B$1:$B$6230,0))))</f>
        <v>RU-KYA</v>
      </c>
      <c r="U116" s="241"/>
      <c r="V116" s="275">
        <f ca="1">IF(C116="",NA(),MATCH($B116&amp;$C116,'Smelter Look-up'!$J:$J,0))</f>
        <v>181</v>
      </c>
      <c r="W116" s="276"/>
      <c r="X116" s="276">
        <f t="shared" ca="1" si="16"/>
        <v>0</v>
      </c>
      <c r="Y116" s="276"/>
      <c r="Z116" s="276"/>
      <c r="AB116" s="278" t="str">
        <f t="shared" ca="1" si="17"/>
        <v>GoldOJSC "The Gulidov Krasnoyarsk Non-Ferrous Metals Plant" (OJSC Krastsvetmet)</v>
      </c>
    </row>
    <row r="117" spans="1:28" s="277" customFormat="1" ht="20.25">
      <c r="A117" s="450" t="s">
        <v>690</v>
      </c>
      <c r="B117" s="217" t="str">
        <f ca="1">IF(LEN(A117)=0,"",INDEX('Smelter Look-up'!$A:$A,MATCH($A117,'Smelter Look-up'!$E:$E,0)))</f>
        <v>Gold</v>
      </c>
      <c r="C117" s="221" t="str">
        <f ca="1">IF(LEN(A117)=0,"",INDEX('Smelter Look-up'!$C:$C,MATCH($A117,'Smelter Look-up'!$E:$E,0)))</f>
        <v>OJSC Novosibirsk Refinery</v>
      </c>
      <c r="D117" s="283"/>
      <c r="E117" s="217" t="str">
        <f ca="1">IF(ISERROR($V117),"",OFFSET('Smelter Look-up'!$D$4,$V117-4,0)&amp;"")</f>
        <v>RUSSIAN FEDERATION</v>
      </c>
      <c r="F117" s="217" t="str">
        <f ca="1">IF(ISERROR($V117),"",OFFSET('Smelter Look-up'!$E$4,$V117-4,0))</f>
        <v>CID000493</v>
      </c>
      <c r="G117" s="217" t="str">
        <f ca="1">IF(C117=$X$4,"Enter smelter details",IF(ISERROR($V117),"",OFFSET('Smelter Look-up'!$F$4,$V117-4,0)))</f>
        <v>RMI</v>
      </c>
      <c r="H117" s="218">
        <f ca="1">IF(ISERROR($V117),"",OFFSET('Smelter Look-up'!$G$4,$V117-4,0))</f>
        <v>0</v>
      </c>
      <c r="I117" s="219" t="str">
        <f ca="1">IF(ISERROR($V117),"",OFFSET('Smelter Look-up'!$H$4,$V117-4,0))</f>
        <v>Novosibirsk</v>
      </c>
      <c r="J117" s="219" t="str">
        <f ca="1">IF(ISERROR($V117),"",OFFSET('Smelter Look-up'!$I$4,$V117-4,0))</f>
        <v>Novosibirskaya oblast'</v>
      </c>
      <c r="K117" s="273"/>
      <c r="L117" s="273"/>
      <c r="M117" s="273"/>
      <c r="N117" s="273"/>
      <c r="O117" s="273"/>
      <c r="P117" s="220"/>
      <c r="Q117" s="274"/>
      <c r="R117" s="217" t="str">
        <f ca="1">IF(ISERROR($V117),"",OFFSET('Smelter Look-up'!$C$4,$V117-4,0)&amp;"")</f>
        <v>OJSC Novosibirsk Refinery</v>
      </c>
      <c r="S117" s="225" t="str">
        <f t="shared" ca="1" si="15"/>
        <v>RU</v>
      </c>
      <c r="T117" s="225" t="str">
        <f ca="1">IF(B117="","",IF(ISERROR(MATCH($J117,SorP!$B$1:$B$6230,0)),"",INDIRECT("'SorP'!$A$"&amp;MATCH($J117,SorP!$B$1:$B$6230,0))))</f>
        <v>RU-NVS</v>
      </c>
      <c r="U117" s="241"/>
      <c r="V117" s="275">
        <f ca="1">IF(C117="",NA(),MATCH($B117&amp;$C117,'Smelter Look-up'!$J:$J,0))</f>
        <v>183</v>
      </c>
      <c r="W117" s="276"/>
      <c r="X117" s="276">
        <f t="shared" ca="1" si="16"/>
        <v>0</v>
      </c>
      <c r="Y117" s="276"/>
      <c r="Z117" s="276"/>
      <c r="AB117" s="278" t="str">
        <f t="shared" ca="1" si="17"/>
        <v>GoldOJSC Novosibirsk Refinery</v>
      </c>
    </row>
    <row r="118" spans="1:28" s="277" customFormat="1" ht="20.25">
      <c r="A118" s="450" t="s">
        <v>734</v>
      </c>
      <c r="B118" s="217" t="str">
        <f ca="1">IF(LEN(A118)=0,"",INDEX('Smelter Look-up'!$A:$A,MATCH($A118,'Smelter Look-up'!$E:$E,0)))</f>
        <v>Gold</v>
      </c>
      <c r="C118" s="221" t="str">
        <f ca="1">IF(LEN(A118)=0,"",INDEX('Smelter Look-up'!$C:$C,MATCH($A118,'Smelter Look-up'!$E:$E,0)))</f>
        <v>PAMP S.A.</v>
      </c>
      <c r="D118" s="283"/>
      <c r="E118" s="217" t="str">
        <f ca="1">IF(ISERROR($V118),"",OFFSET('Smelter Look-up'!$D$4,$V118-4,0)&amp;"")</f>
        <v>SWITZERLAND</v>
      </c>
      <c r="F118" s="217" t="str">
        <f ca="1">IF(ISERROR($V118),"",OFFSET('Smelter Look-up'!$E$4,$V118-4,0))</f>
        <v>CID001352</v>
      </c>
      <c r="G118" s="217" t="str">
        <f ca="1">IF(C118=$X$4,"Enter smelter details",IF(ISERROR($V118),"",OFFSET('Smelter Look-up'!$F$4,$V118-4,0)))</f>
        <v>RMI</v>
      </c>
      <c r="H118" s="218">
        <f ca="1">IF(ISERROR($V118),"",OFFSET('Smelter Look-up'!$G$4,$V118-4,0))</f>
        <v>0</v>
      </c>
      <c r="I118" s="219" t="str">
        <f ca="1">IF(ISERROR($V118),"",OFFSET('Smelter Look-up'!$H$4,$V118-4,0))</f>
        <v>Castel San Pietro</v>
      </c>
      <c r="J118" s="219" t="str">
        <f ca="1">IF(ISERROR($V118),"",OFFSET('Smelter Look-up'!$I$4,$V118-4,0))</f>
        <v>Ticino</v>
      </c>
      <c r="K118" s="273"/>
      <c r="L118" s="273"/>
      <c r="M118" s="273"/>
      <c r="N118" s="273"/>
      <c r="O118" s="273"/>
      <c r="P118" s="220"/>
      <c r="Q118" s="274"/>
      <c r="R118" s="217" t="str">
        <f ca="1">IF(ISERROR($V118),"",OFFSET('Smelter Look-up'!$C$4,$V118-4,0)&amp;"")</f>
        <v>PAMP S.A.</v>
      </c>
      <c r="S118" s="225" t="str">
        <f t="shared" ca="1" si="15"/>
        <v>CH</v>
      </c>
      <c r="T118" s="225" t="str">
        <f ca="1">IF(B118="","",IF(ISERROR(MATCH($J118,SorP!$B$1:$B$6230,0)),"",INDIRECT("'SorP'!$A$"&amp;MATCH($J118,SorP!$B$1:$B$6230,0))))</f>
        <v>CH-TI</v>
      </c>
      <c r="U118" s="241"/>
      <c r="V118" s="275">
        <f ca="1">IF(C118="",NA(),MATCH($B118&amp;$C118,'Smelter Look-up'!$J:$J,0))</f>
        <v>184</v>
      </c>
      <c r="W118" s="276"/>
      <c r="X118" s="276">
        <f t="shared" ca="1" si="16"/>
        <v>0</v>
      </c>
      <c r="Y118" s="276"/>
      <c r="Z118" s="276"/>
      <c r="AB118" s="278" t="str">
        <f t="shared" ca="1" si="17"/>
        <v>GoldPAMP S.A.</v>
      </c>
    </row>
    <row r="119" spans="1:28" s="277" customFormat="1" ht="20.25">
      <c r="A119" s="450" t="s">
        <v>2662</v>
      </c>
      <c r="B119" s="217" t="str">
        <f ca="1">IF(LEN(A119)=0,"",INDEX('Smelter Look-up'!$A:$A,MATCH($A119,'Smelter Look-up'!$E:$E,0)))</f>
        <v>Gold</v>
      </c>
      <c r="C119" s="221" t="str">
        <f ca="1">IF(LEN(A119)=0,"",INDEX('Smelter Look-up'!$C:$C,MATCH($A119,'Smelter Look-up'!$E:$E,0)))</f>
        <v>Planta Recuperadora de Metales SpA</v>
      </c>
      <c r="D119" s="283"/>
      <c r="E119" s="217" t="str">
        <f ca="1">IF(ISERROR($V119),"",OFFSET('Smelter Look-up'!$D$4,$V119-4,0)&amp;"")</f>
        <v>CHILE</v>
      </c>
      <c r="F119" s="217" t="str">
        <f ca="1">IF(ISERROR($V119),"",OFFSET('Smelter Look-up'!$E$4,$V119-4,0))</f>
        <v>CID002919</v>
      </c>
      <c r="G119" s="217" t="str">
        <f ca="1">IF(C119=$X$4,"Enter smelter details",IF(ISERROR($V119),"",OFFSET('Smelter Look-up'!$F$4,$V119-4,0)))</f>
        <v>RMI</v>
      </c>
      <c r="H119" s="218">
        <f ca="1">IF(ISERROR($V119),"",OFFSET('Smelter Look-up'!$G$4,$V119-4,0))</f>
        <v>0</v>
      </c>
      <c r="I119" s="219" t="str">
        <f ca="1">IF(ISERROR($V119),"",OFFSET('Smelter Look-up'!$H$4,$V119-4,0))</f>
        <v>Mejillones</v>
      </c>
      <c r="J119" s="219" t="str">
        <f ca="1">IF(ISERROR($V119),"",OFFSET('Smelter Look-up'!$I$4,$V119-4,0))</f>
        <v>Antofagasta</v>
      </c>
      <c r="K119" s="273"/>
      <c r="L119" s="273"/>
      <c r="M119" s="273"/>
      <c r="N119" s="273"/>
      <c r="O119" s="273"/>
      <c r="P119" s="220"/>
      <c r="Q119" s="274"/>
      <c r="R119" s="217" t="str">
        <f ca="1">IF(ISERROR($V119),"",OFFSET('Smelter Look-up'!$C$4,$V119-4,0)&amp;"")</f>
        <v>Planta Recuperadora de Metales SpA</v>
      </c>
      <c r="S119" s="225" t="str">
        <f t="shared" ca="1" si="15"/>
        <v>CL</v>
      </c>
      <c r="T119" s="225" t="str">
        <f ca="1">IF(B119="","",IF(ISERROR(MATCH($J119,SorP!$B$1:$B$6230,0)),"",INDIRECT("'SorP'!$A$"&amp;MATCH($J119,SorP!$B$1:$B$6230,0))))</f>
        <v>CL-AN</v>
      </c>
      <c r="U119" s="241"/>
      <c r="V119" s="275">
        <f ca="1">IF(C119="",NA(),MATCH($B119&amp;$C119,'Smelter Look-up'!$J:$J,0))</f>
        <v>190</v>
      </c>
      <c r="W119" s="276"/>
      <c r="X119" s="276">
        <f t="shared" ca="1" si="16"/>
        <v>0</v>
      </c>
      <c r="Y119" s="276"/>
      <c r="Z119" s="276"/>
      <c r="AB119" s="278" t="str">
        <f t="shared" ca="1" si="17"/>
        <v>GoldPlanta Recuperadora de Metales SpA</v>
      </c>
    </row>
    <row r="120" spans="1:28" s="277" customFormat="1" ht="20.25">
      <c r="A120" s="450" t="s">
        <v>736</v>
      </c>
      <c r="B120" s="217" t="str">
        <f ca="1">IF(LEN(A120)=0,"",INDEX('Smelter Look-up'!$A:$A,MATCH($A120,'Smelter Look-up'!$E:$E,0)))</f>
        <v>Gold</v>
      </c>
      <c r="C120" s="221" t="str">
        <f ca="1">IF(LEN(A120)=0,"",INDEX('Smelter Look-up'!$C:$C,MATCH($A120,'Smelter Look-up'!$E:$E,0)))</f>
        <v>Prioksky Plant of Non-Ferrous Metals</v>
      </c>
      <c r="D120" s="283"/>
      <c r="E120" s="217" t="str">
        <f ca="1">IF(ISERROR($V120),"",OFFSET('Smelter Look-up'!$D$4,$V120-4,0)&amp;"")</f>
        <v>RUSSIAN FEDERATION</v>
      </c>
      <c r="F120" s="217" t="str">
        <f ca="1">IF(ISERROR($V120),"",OFFSET('Smelter Look-up'!$E$4,$V120-4,0))</f>
        <v>CID001386</v>
      </c>
      <c r="G120" s="217" t="str">
        <f ca="1">IF(C120=$X$4,"Enter smelter details",IF(ISERROR($V120),"",OFFSET('Smelter Look-up'!$F$4,$V120-4,0)))</f>
        <v>RMI</v>
      </c>
      <c r="H120" s="218">
        <f ca="1">IF(ISERROR($V120),"",OFFSET('Smelter Look-up'!$G$4,$V120-4,0))</f>
        <v>0</v>
      </c>
      <c r="I120" s="219" t="str">
        <f ca="1">IF(ISERROR($V120),"",OFFSET('Smelter Look-up'!$H$4,$V120-4,0))</f>
        <v>Kasimov</v>
      </c>
      <c r="J120" s="219" t="str">
        <f ca="1">IF(ISERROR($V120),"",OFFSET('Smelter Look-up'!$I$4,$V120-4,0))</f>
        <v>Ryazanskaya oblast'</v>
      </c>
      <c r="K120" s="273"/>
      <c r="L120" s="273"/>
      <c r="M120" s="273"/>
      <c r="N120" s="273"/>
      <c r="O120" s="273"/>
      <c r="P120" s="220"/>
      <c r="Q120" s="274"/>
      <c r="R120" s="217" t="str">
        <f ca="1">IF(ISERROR($V120),"",OFFSET('Smelter Look-up'!$C$4,$V120-4,0)&amp;"")</f>
        <v>Prioksky Plant of Non-Ferrous Metals</v>
      </c>
      <c r="S120" s="225" t="str">
        <f t="shared" ca="1" si="15"/>
        <v>RU</v>
      </c>
      <c r="T120" s="225" t="str">
        <f ca="1">IF(B120="","",IF(ISERROR(MATCH($J120,SorP!$B$1:$B$6230,0)),"",INDIRECT("'SorP'!$A$"&amp;MATCH($J120,SorP!$B$1:$B$6230,0))))</f>
        <v>RU-RYA</v>
      </c>
      <c r="U120" s="241"/>
      <c r="V120" s="275">
        <f ca="1">IF(C120="",NA(),MATCH($B120&amp;$C120,'Smelter Look-up'!$J:$J,0))</f>
        <v>191</v>
      </c>
      <c r="W120" s="276"/>
      <c r="X120" s="276">
        <f t="shared" ca="1" si="16"/>
        <v>0</v>
      </c>
      <c r="Y120" s="276"/>
      <c r="Z120" s="276"/>
      <c r="AB120" s="278" t="str">
        <f t="shared" ca="1" si="17"/>
        <v>GoldPrioksky Plant of Non-Ferrous Metals</v>
      </c>
    </row>
    <row r="121" spans="1:28" s="277" customFormat="1" ht="20.25">
      <c r="A121" s="450" t="s">
        <v>737</v>
      </c>
      <c r="B121" s="217" t="str">
        <f ca="1">IF(LEN(A121)=0,"",INDEX('Smelter Look-up'!$A:$A,MATCH($A121,'Smelter Look-up'!$E:$E,0)))</f>
        <v>Gold</v>
      </c>
      <c r="C121" s="221" t="str">
        <f ca="1">IF(LEN(A121)=0,"",INDEX('Smelter Look-up'!$C:$C,MATCH($A121,'Smelter Look-up'!$E:$E,0)))</f>
        <v>PT Aneka Tambang (Persero) Tbk</v>
      </c>
      <c r="D121" s="283"/>
      <c r="E121" s="217" t="str">
        <f ca="1">IF(ISERROR($V121),"",OFFSET('Smelter Look-up'!$D$4,$V121-4,0)&amp;"")</f>
        <v>INDONESIA</v>
      </c>
      <c r="F121" s="217" t="str">
        <f ca="1">IF(ISERROR($V121),"",OFFSET('Smelter Look-up'!$E$4,$V121-4,0))</f>
        <v>CID001397</v>
      </c>
      <c r="G121" s="217" t="str">
        <f ca="1">IF(C121=$X$4,"Enter smelter details",IF(ISERROR($V121),"",OFFSET('Smelter Look-up'!$F$4,$V121-4,0)))</f>
        <v>RMI</v>
      </c>
      <c r="H121" s="218">
        <f ca="1">IF(ISERROR($V121),"",OFFSET('Smelter Look-up'!$G$4,$V121-4,0))</f>
        <v>0</v>
      </c>
      <c r="I121" s="219" t="str">
        <f ca="1">IF(ISERROR($V121),"",OFFSET('Smelter Look-up'!$H$4,$V121-4,0))</f>
        <v>Jakarta</v>
      </c>
      <c r="J121" s="219" t="str">
        <f ca="1">IF(ISERROR($V121),"",OFFSET('Smelter Look-up'!$I$4,$V121-4,0))</f>
        <v>Jakarta Raya</v>
      </c>
      <c r="K121" s="273"/>
      <c r="L121" s="273"/>
      <c r="M121" s="273"/>
      <c r="N121" s="273"/>
      <c r="O121" s="273"/>
      <c r="P121" s="220"/>
      <c r="Q121" s="274"/>
      <c r="R121" s="217" t="str">
        <f ca="1">IF(ISERROR($V121),"",OFFSET('Smelter Look-up'!$C$4,$V121-4,0)&amp;"")</f>
        <v>PT Aneka Tambang (Persero) Tbk</v>
      </c>
      <c r="S121" s="225" t="str">
        <f t="shared" ca="1" si="15"/>
        <v>ID</v>
      </c>
      <c r="T121" s="225" t="str">
        <f ca="1">IF(B121="","",IF(ISERROR(MATCH($J121,SorP!$B$1:$B$6230,0)),"",INDIRECT("'SorP'!$A$"&amp;MATCH($J121,SorP!$B$1:$B$6230,0))))</f>
        <v>ID-JK</v>
      </c>
      <c r="U121" s="241"/>
      <c r="V121" s="275">
        <f ca="1">IF(C121="",NA(),MATCH($B121&amp;$C121,'Smelter Look-up'!$J:$J,0))</f>
        <v>193</v>
      </c>
      <c r="W121" s="276"/>
      <c r="X121" s="276">
        <f t="shared" ca="1" si="16"/>
        <v>0</v>
      </c>
      <c r="Y121" s="276"/>
      <c r="Z121" s="276"/>
      <c r="AB121" s="278" t="str">
        <f t="shared" ca="1" si="17"/>
        <v>GoldPT Aneka Tambang (Persero) Tbk</v>
      </c>
    </row>
    <row r="122" spans="1:28" s="277" customFormat="1" ht="20.25">
      <c r="A122" s="450" t="s">
        <v>738</v>
      </c>
      <c r="B122" s="217" t="str">
        <f ca="1">IF(LEN(A122)=0,"",INDEX('Smelter Look-up'!$A:$A,MATCH($A122,'Smelter Look-up'!$E:$E,0)))</f>
        <v>Gold</v>
      </c>
      <c r="C122" s="221" t="str">
        <f ca="1">IF(LEN(A122)=0,"",INDEX('Smelter Look-up'!$C:$C,MATCH($A122,'Smelter Look-up'!$E:$E,0)))</f>
        <v>PX Precinox S.A.</v>
      </c>
      <c r="D122" s="283"/>
      <c r="E122" s="217" t="str">
        <f ca="1">IF(ISERROR($V122),"",OFFSET('Smelter Look-up'!$D$4,$V122-4,0)&amp;"")</f>
        <v>SWITZERLAND</v>
      </c>
      <c r="F122" s="217" t="str">
        <f ca="1">IF(ISERROR($V122),"",OFFSET('Smelter Look-up'!$E$4,$V122-4,0))</f>
        <v>CID001498</v>
      </c>
      <c r="G122" s="217" t="str">
        <f ca="1">IF(C122=$X$4,"Enter smelter details",IF(ISERROR($V122),"",OFFSET('Smelter Look-up'!$F$4,$V122-4,0)))</f>
        <v>RMI</v>
      </c>
      <c r="H122" s="218">
        <f ca="1">IF(ISERROR($V122),"",OFFSET('Smelter Look-up'!$G$4,$V122-4,0))</f>
        <v>0</v>
      </c>
      <c r="I122" s="219" t="str">
        <f ca="1">IF(ISERROR($V122),"",OFFSET('Smelter Look-up'!$H$4,$V122-4,0))</f>
        <v>La Chaux-de-Fonds</v>
      </c>
      <c r="J122" s="219" t="str">
        <f ca="1">IF(ISERROR($V122),"",OFFSET('Smelter Look-up'!$I$4,$V122-4,0))</f>
        <v>Neuchâtel</v>
      </c>
      <c r="K122" s="273"/>
      <c r="L122" s="273"/>
      <c r="M122" s="273"/>
      <c r="N122" s="273"/>
      <c r="O122" s="273"/>
      <c r="P122" s="220"/>
      <c r="Q122" s="274"/>
      <c r="R122" s="217" t="str">
        <f ca="1">IF(ISERROR($V122),"",OFFSET('Smelter Look-up'!$C$4,$V122-4,0)&amp;"")</f>
        <v>PX Precinox S.A.</v>
      </c>
      <c r="S122" s="225" t="str">
        <f t="shared" ca="1" si="15"/>
        <v>CH</v>
      </c>
      <c r="T122" s="225" t="str">
        <f ca="1">IF(B122="","",IF(ISERROR(MATCH($J122,SorP!$B$1:$B$6230,0)),"",INDIRECT("'SorP'!$A$"&amp;MATCH($J122,SorP!$B$1:$B$6230,0))))</f>
        <v>CH-NE</v>
      </c>
      <c r="U122" s="241"/>
      <c r="V122" s="275">
        <f ca="1">IF(C122="",NA(),MATCH($B122&amp;$C122,'Smelter Look-up'!$J:$J,0))</f>
        <v>194</v>
      </c>
      <c r="W122" s="276"/>
      <c r="X122" s="276">
        <f t="shared" ca="1" si="16"/>
        <v>0</v>
      </c>
      <c r="Y122" s="276"/>
      <c r="Z122" s="276"/>
      <c r="AB122" s="278" t="str">
        <f t="shared" ca="1" si="17"/>
        <v>GoldPX Precinox S.A.</v>
      </c>
    </row>
    <row r="123" spans="1:28" s="277" customFormat="1" ht="20.25">
      <c r="A123" s="450" t="s">
        <v>739</v>
      </c>
      <c r="B123" s="217" t="str">
        <f ca="1">IF(LEN(A123)=0,"",INDEX('Smelter Look-up'!$A:$A,MATCH($A123,'Smelter Look-up'!$E:$E,0)))</f>
        <v>Gold</v>
      </c>
      <c r="C123" s="221" t="str">
        <f ca="1">IF(LEN(A123)=0,"",INDEX('Smelter Look-up'!$C:$C,MATCH($A123,'Smelter Look-up'!$E:$E,0)))</f>
        <v>Rand Refinery (Pty) Ltd.</v>
      </c>
      <c r="D123" s="283"/>
      <c r="E123" s="217" t="str">
        <f ca="1">IF(ISERROR($V123),"",OFFSET('Smelter Look-up'!$D$4,$V123-4,0)&amp;"")</f>
        <v>SOUTH AFRICA</v>
      </c>
      <c r="F123" s="217" t="str">
        <f ca="1">IF(ISERROR($V123),"",OFFSET('Smelter Look-up'!$E$4,$V123-4,0))</f>
        <v>CID001512</v>
      </c>
      <c r="G123" s="217" t="str">
        <f ca="1">IF(C123=$X$4,"Enter smelter details",IF(ISERROR($V123),"",OFFSET('Smelter Look-up'!$F$4,$V123-4,0)))</f>
        <v>RMI</v>
      </c>
      <c r="H123" s="218">
        <f ca="1">IF(ISERROR($V123),"",OFFSET('Smelter Look-up'!$G$4,$V123-4,0))</f>
        <v>0</v>
      </c>
      <c r="I123" s="219" t="str">
        <f ca="1">IF(ISERROR($V123),"",OFFSET('Smelter Look-up'!$H$4,$V123-4,0))</f>
        <v>Germiston</v>
      </c>
      <c r="J123" s="219" t="str">
        <f ca="1">IF(ISERROR($V123),"",OFFSET('Smelter Look-up'!$I$4,$V123-4,0))</f>
        <v>Gauteng</v>
      </c>
      <c r="K123" s="273"/>
      <c r="L123" s="273"/>
      <c r="M123" s="273"/>
      <c r="N123" s="273"/>
      <c r="O123" s="273"/>
      <c r="P123" s="220"/>
      <c r="Q123" s="274"/>
      <c r="R123" s="217" t="str">
        <f ca="1">IF(ISERROR($V123),"",OFFSET('Smelter Look-up'!$C$4,$V123-4,0)&amp;"")</f>
        <v>Rand Refinery (Pty) Ltd.</v>
      </c>
      <c r="S123" s="225" t="str">
        <f t="shared" ca="1" si="15"/>
        <v>ZA</v>
      </c>
      <c r="T123" s="225" t="str">
        <f ca="1">IF(B123="","",IF(ISERROR(MATCH($J123,SorP!$B$1:$B$6230,0)),"",INDIRECT("'SorP'!$A$"&amp;MATCH($J123,SorP!$B$1:$B$6230,0))))</f>
        <v>ZA-GT</v>
      </c>
      <c r="U123" s="241"/>
      <c r="V123" s="275">
        <f ca="1">IF(C123="",NA(),MATCH($B123&amp;$C123,'Smelter Look-up'!$J:$J,0))</f>
        <v>197</v>
      </c>
      <c r="W123" s="276"/>
      <c r="X123" s="276">
        <f t="shared" ca="1" si="16"/>
        <v>0</v>
      </c>
      <c r="Y123" s="276"/>
      <c r="Z123" s="276"/>
      <c r="AB123" s="278" t="str">
        <f t="shared" ca="1" si="17"/>
        <v>GoldRand Refinery (Pty) Ltd.</v>
      </c>
    </row>
    <row r="124" spans="1:28" s="277" customFormat="1" ht="20.25">
      <c r="A124" s="450" t="s">
        <v>2442</v>
      </c>
      <c r="B124" s="217" t="str">
        <f ca="1">IF(LEN(A124)=0,"",INDEX('Smelter Look-up'!$A:$A,MATCH($A124,'Smelter Look-up'!$E:$E,0)))</f>
        <v>Gold</v>
      </c>
      <c r="C124" s="221" t="str">
        <f ca="1">IF(LEN(A124)=0,"",INDEX('Smelter Look-up'!$C:$C,MATCH($A124,'Smelter Look-up'!$E:$E,0)))</f>
        <v>REMONDIS PMR B.V.</v>
      </c>
      <c r="D124" s="283"/>
      <c r="E124" s="217" t="str">
        <f ca="1">IF(ISERROR($V124),"",OFFSET('Smelter Look-up'!$D$4,$V124-4,0)&amp;"")</f>
        <v>NETHERLANDS</v>
      </c>
      <c r="F124" s="217" t="str">
        <f ca="1">IF(ISERROR($V124),"",OFFSET('Smelter Look-up'!$E$4,$V124-4,0))</f>
        <v>CID002582</v>
      </c>
      <c r="G124" s="217" t="str">
        <f ca="1">IF(C124=$X$4,"Enter smelter details",IF(ISERROR($V124),"",OFFSET('Smelter Look-up'!$F$4,$V124-4,0)))</f>
        <v>RMI</v>
      </c>
      <c r="H124" s="218">
        <f ca="1">IF(ISERROR($V124),"",OFFSET('Smelter Look-up'!$G$4,$V124-4,0))</f>
        <v>0</v>
      </c>
      <c r="I124" s="219" t="str">
        <f ca="1">IF(ISERROR($V124),"",OFFSET('Smelter Look-up'!$H$4,$V124-4,0))</f>
        <v>Moerdijk</v>
      </c>
      <c r="J124" s="219" t="str">
        <f ca="1">IF(ISERROR($V124),"",OFFSET('Smelter Look-up'!$I$4,$V124-4,0))</f>
        <v>Noord-Brabant</v>
      </c>
      <c r="K124" s="273"/>
      <c r="L124" s="273"/>
      <c r="M124" s="273"/>
      <c r="N124" s="273"/>
      <c r="O124" s="273"/>
      <c r="P124" s="220"/>
      <c r="Q124" s="274"/>
      <c r="R124" s="217" t="str">
        <f ca="1">IF(ISERROR($V124),"",OFFSET('Smelter Look-up'!$C$4,$V124-4,0)&amp;"")</f>
        <v>REMONDIS PMR B.V.</v>
      </c>
      <c r="S124" s="225" t="str">
        <f t="shared" ca="1" si="15"/>
        <v>NL</v>
      </c>
      <c r="T124" s="225" t="str">
        <f ca="1">IF(B124="","",IF(ISERROR(MATCH($J124,SorP!$B$1:$B$6230,0)),"",INDIRECT("'SorP'!$A$"&amp;MATCH($J124,SorP!$B$1:$B$6230,0))))</f>
        <v>NL-NB</v>
      </c>
      <c r="U124" s="241"/>
      <c r="V124" s="275">
        <f ca="1">IF(C124="",NA(),MATCH($B124&amp;$C124,'Smelter Look-up'!$J:$J,0))</f>
        <v>201</v>
      </c>
      <c r="W124" s="276"/>
      <c r="X124" s="276">
        <f t="shared" ca="1" si="16"/>
        <v>0</v>
      </c>
      <c r="Y124" s="276"/>
      <c r="Z124" s="276"/>
      <c r="AB124" s="278" t="str">
        <f t="shared" ca="1" si="17"/>
        <v>GoldREMONDIS PMR B.V.</v>
      </c>
    </row>
    <row r="125" spans="1:28" s="277" customFormat="1" ht="20.25">
      <c r="A125" s="450" t="s">
        <v>740</v>
      </c>
      <c r="B125" s="217" t="str">
        <f ca="1">IF(LEN(A125)=0,"",INDEX('Smelter Look-up'!$A:$A,MATCH($A125,'Smelter Look-up'!$E:$E,0)))</f>
        <v>Gold</v>
      </c>
      <c r="C125" s="221" t="str">
        <f ca="1">IF(LEN(A125)=0,"",INDEX('Smelter Look-up'!$C:$C,MATCH($A125,'Smelter Look-up'!$E:$E,0)))</f>
        <v>Royal Canadian Mint</v>
      </c>
      <c r="D125" s="283"/>
      <c r="E125" s="217" t="str">
        <f ca="1">IF(ISERROR($V125),"",OFFSET('Smelter Look-up'!$D$4,$V125-4,0)&amp;"")</f>
        <v>CANADA</v>
      </c>
      <c r="F125" s="217" t="str">
        <f ca="1">IF(ISERROR($V125),"",OFFSET('Smelter Look-up'!$E$4,$V125-4,0))</f>
        <v>CID001534</v>
      </c>
      <c r="G125" s="217" t="str">
        <f ca="1">IF(C125=$X$4,"Enter smelter details",IF(ISERROR($V125),"",OFFSET('Smelter Look-up'!$F$4,$V125-4,0)))</f>
        <v>RMI</v>
      </c>
      <c r="H125" s="218">
        <f ca="1">IF(ISERROR($V125),"",OFFSET('Smelter Look-up'!$G$4,$V125-4,0))</f>
        <v>0</v>
      </c>
      <c r="I125" s="219" t="str">
        <f ca="1">IF(ISERROR($V125),"",OFFSET('Smelter Look-up'!$H$4,$V125-4,0))</f>
        <v>Ottawa</v>
      </c>
      <c r="J125" s="219" t="str">
        <f ca="1">IF(ISERROR($V125),"",OFFSET('Smelter Look-up'!$I$4,$V125-4,0))</f>
        <v>Ontario</v>
      </c>
      <c r="K125" s="273"/>
      <c r="L125" s="273"/>
      <c r="M125" s="273"/>
      <c r="N125" s="273"/>
      <c r="O125" s="273"/>
      <c r="P125" s="220"/>
      <c r="Q125" s="274"/>
      <c r="R125" s="217" t="str">
        <f ca="1">IF(ISERROR($V125),"",OFFSET('Smelter Look-up'!$C$4,$V125-4,0)&amp;"")</f>
        <v>Royal Canadian Mint</v>
      </c>
      <c r="S125" s="225" t="str">
        <f t="shared" ca="1" si="15"/>
        <v>CA</v>
      </c>
      <c r="T125" s="225" t="str">
        <f ca="1">IF(B125="","",IF(ISERROR(MATCH($J125,SorP!$B$1:$B$6230,0)),"",INDIRECT("'SorP'!$A$"&amp;MATCH($J125,SorP!$B$1:$B$6230,0))))</f>
        <v>CA-ON</v>
      </c>
      <c r="U125" s="241"/>
      <c r="V125" s="275">
        <f ca="1">IF(C125="",NA(),MATCH($B125&amp;$C125,'Smelter Look-up'!$J:$J,0))</f>
        <v>202</v>
      </c>
      <c r="W125" s="276"/>
      <c r="X125" s="276">
        <f t="shared" ca="1" si="16"/>
        <v>0</v>
      </c>
      <c r="Y125" s="276"/>
      <c r="Z125" s="276"/>
      <c r="AB125" s="278" t="str">
        <f t="shared" ca="1" si="17"/>
        <v>GoldRoyal Canadian Mint</v>
      </c>
    </row>
    <row r="126" spans="1:28" s="277" customFormat="1" ht="20.25">
      <c r="A126" s="450" t="s">
        <v>2371</v>
      </c>
      <c r="B126" s="217" t="str">
        <f ca="1">IF(LEN(A126)=0,"",INDEX('Smelter Look-up'!$A:$A,MATCH($A126,'Smelter Look-up'!$E:$E,0)))</f>
        <v>Gold</v>
      </c>
      <c r="C126" s="221" t="str">
        <f ca="1">IF(LEN(A126)=0,"",INDEX('Smelter Look-up'!$C:$C,MATCH($A126,'Smelter Look-up'!$E:$E,0)))</f>
        <v>SAAMP</v>
      </c>
      <c r="D126" s="283"/>
      <c r="E126" s="217" t="str">
        <f ca="1">IF(ISERROR($V126),"",OFFSET('Smelter Look-up'!$D$4,$V126-4,0)&amp;"")</f>
        <v>FRANCE</v>
      </c>
      <c r="F126" s="217" t="str">
        <f ca="1">IF(ISERROR($V126),"",OFFSET('Smelter Look-up'!$E$4,$V126-4,0))</f>
        <v>CID002761</v>
      </c>
      <c r="G126" s="217" t="str">
        <f ca="1">IF(C126=$X$4,"Enter smelter details",IF(ISERROR($V126),"",OFFSET('Smelter Look-up'!$F$4,$V126-4,0)))</f>
        <v>RMI</v>
      </c>
      <c r="H126" s="218">
        <f ca="1">IF(ISERROR($V126),"",OFFSET('Smelter Look-up'!$G$4,$V126-4,0))</f>
        <v>0</v>
      </c>
      <c r="I126" s="219" t="str">
        <f ca="1">IF(ISERROR($V126),"",OFFSET('Smelter Look-up'!$H$4,$V126-4,0))</f>
        <v>Paris</v>
      </c>
      <c r="J126" s="219" t="str">
        <f ca="1">IF(ISERROR($V126),"",OFFSET('Smelter Look-up'!$I$4,$V126-4,0))</f>
        <v>Île-de-France</v>
      </c>
      <c r="K126" s="273"/>
      <c r="L126" s="273"/>
      <c r="M126" s="273"/>
      <c r="N126" s="273"/>
      <c r="O126" s="273"/>
      <c r="P126" s="220"/>
      <c r="Q126" s="274"/>
      <c r="R126" s="217" t="str">
        <f ca="1">IF(ISERROR($V126),"",OFFSET('Smelter Look-up'!$C$4,$V126-4,0)&amp;"")</f>
        <v>SAAMP</v>
      </c>
      <c r="S126" s="225" t="str">
        <f t="shared" ca="1" si="15"/>
        <v>FR</v>
      </c>
      <c r="T126" s="225" t="str">
        <f ca="1">IF(B126="","",IF(ISERROR(MATCH($J126,SorP!$B$1:$B$6230,0)),"",INDIRECT("'SorP'!$A$"&amp;MATCH($J126,SorP!$B$1:$B$6230,0))))</f>
        <v>FR-IDF</v>
      </c>
      <c r="U126" s="241"/>
      <c r="V126" s="275">
        <f ca="1">IF(C126="",NA(),MATCH($B126&amp;$C126,'Smelter Look-up'!$J:$J,0))</f>
        <v>203</v>
      </c>
      <c r="W126" s="276"/>
      <c r="X126" s="276">
        <f t="shared" ca="1" si="16"/>
        <v>0</v>
      </c>
      <c r="Y126" s="276"/>
      <c r="Z126" s="276"/>
      <c r="AB126" s="278" t="str">
        <f t="shared" ca="1" si="17"/>
        <v>GoldSAAMP</v>
      </c>
    </row>
    <row r="127" spans="1:28" s="277" customFormat="1" ht="20.25">
      <c r="A127" s="450" t="s">
        <v>2666</v>
      </c>
      <c r="B127" s="217" t="str">
        <f ca="1">IF(LEN(A127)=0,"",INDEX('Smelter Look-up'!$A:$A,MATCH($A127,'Smelter Look-up'!$E:$E,0)))</f>
        <v>Gold</v>
      </c>
      <c r="C127" s="221" t="str">
        <f ca="1">IF(LEN(A127)=0,"",INDEX('Smelter Look-up'!$C:$C,MATCH($A127,'Smelter Look-up'!$E:$E,0)))</f>
        <v>Safimet S.p.A</v>
      </c>
      <c r="D127" s="283"/>
      <c r="E127" s="217" t="str">
        <f ca="1">IF(ISERROR($V127),"",OFFSET('Smelter Look-up'!$D$4,$V127-4,0)&amp;"")</f>
        <v>ITALY</v>
      </c>
      <c r="F127" s="217" t="str">
        <f ca="1">IF(ISERROR($V127),"",OFFSET('Smelter Look-up'!$E$4,$V127-4,0))</f>
        <v>CID002973</v>
      </c>
      <c r="G127" s="217" t="str">
        <f ca="1">IF(C127=$X$4,"Enter smelter details",IF(ISERROR($V127),"",OFFSET('Smelter Look-up'!$F$4,$V127-4,0)))</f>
        <v>RMI</v>
      </c>
      <c r="H127" s="218">
        <f ca="1">IF(ISERROR($V127),"",OFFSET('Smelter Look-up'!$G$4,$V127-4,0))</f>
        <v>0</v>
      </c>
      <c r="I127" s="219" t="str">
        <f ca="1">IF(ISERROR($V127),"",OFFSET('Smelter Look-up'!$H$4,$V127-4,0))</f>
        <v>Arezzo</v>
      </c>
      <c r="J127" s="219" t="str">
        <f ca="1">IF(ISERROR($V127),"",OFFSET('Smelter Look-up'!$I$4,$V127-4,0))</f>
        <v>Toscana</v>
      </c>
      <c r="K127" s="273"/>
      <c r="L127" s="273"/>
      <c r="M127" s="273"/>
      <c r="N127" s="273"/>
      <c r="O127" s="273"/>
      <c r="P127" s="220"/>
      <c r="Q127" s="274"/>
      <c r="R127" s="217" t="str">
        <f ca="1">IF(ISERROR($V127),"",OFFSET('Smelter Look-up'!$C$4,$V127-4,0)&amp;"")</f>
        <v>Safimet S.p.A</v>
      </c>
      <c r="S127" s="225" t="str">
        <f t="shared" ca="1" si="15"/>
        <v>IT</v>
      </c>
      <c r="T127" s="225" t="str">
        <f ca="1">IF(B127="","",IF(ISERROR(MATCH($J127,SorP!$B$1:$B$6230,0)),"",INDIRECT("'SorP'!$A$"&amp;MATCH($J127,SorP!$B$1:$B$6230,0))))</f>
        <v>IT-52</v>
      </c>
      <c r="U127" s="241"/>
      <c r="V127" s="275">
        <f ca="1">IF(C127="",NA(),MATCH($B127&amp;$C127,'Smelter Look-up'!$J:$J,0))</f>
        <v>205</v>
      </c>
      <c r="W127" s="276"/>
      <c r="X127" s="276">
        <f t="shared" ca="1" si="16"/>
        <v>0</v>
      </c>
      <c r="Y127" s="276"/>
      <c r="Z127" s="276"/>
      <c r="AB127" s="278" t="str">
        <f t="shared" ca="1" si="17"/>
        <v>GoldSafimet S.p.A</v>
      </c>
    </row>
    <row r="128" spans="1:28" s="277" customFormat="1" ht="20.25">
      <c r="A128" s="450" t="s">
        <v>1432</v>
      </c>
      <c r="B128" s="217" t="str">
        <f ca="1">IF(LEN(A128)=0,"",INDEX('Smelter Look-up'!$A:$A,MATCH($A128,'Smelter Look-up'!$E:$E,0)))</f>
        <v>Gold</v>
      </c>
      <c r="C128" s="221" t="str">
        <f ca="1">IF(LEN(A128)=0,"",INDEX('Smelter Look-up'!$C:$C,MATCH($A128,'Smelter Look-up'!$E:$E,0)))</f>
        <v>Samduck Precious Metals</v>
      </c>
      <c r="D128" s="283"/>
      <c r="E128" s="217" t="str">
        <f ca="1">IF(ISERROR($V128),"",OFFSET('Smelter Look-up'!$D$4,$V128-4,0)&amp;"")</f>
        <v>KOREA, REPUBLIC OF</v>
      </c>
      <c r="F128" s="217" t="str">
        <f ca="1">IF(ISERROR($V128),"",OFFSET('Smelter Look-up'!$E$4,$V128-4,0))</f>
        <v>CID001555</v>
      </c>
      <c r="G128" s="217" t="str">
        <f ca="1">IF(C128=$X$4,"Enter smelter details",IF(ISERROR($V128),"",OFFSET('Smelter Look-up'!$F$4,$V128-4,0)))</f>
        <v>RMI</v>
      </c>
      <c r="H128" s="218">
        <f ca="1">IF(ISERROR($V128),"",OFFSET('Smelter Look-up'!$G$4,$V128-4,0))</f>
        <v>0</v>
      </c>
      <c r="I128" s="219" t="str">
        <f ca="1">IF(ISERROR($V128),"",OFFSET('Smelter Look-up'!$H$4,$V128-4,0))</f>
        <v>Namdong</v>
      </c>
      <c r="J128" s="219" t="str">
        <f ca="1">IF(ISERROR($V128),"",OFFSET('Smelter Look-up'!$I$4,$V128-4,0))</f>
        <v>Incheon-gwangyeoksi</v>
      </c>
      <c r="K128" s="273"/>
      <c r="L128" s="273"/>
      <c r="M128" s="273"/>
      <c r="N128" s="273"/>
      <c r="O128" s="273"/>
      <c r="P128" s="220"/>
      <c r="Q128" s="274"/>
      <c r="R128" s="217" t="str">
        <f ca="1">IF(ISERROR($V128),"",OFFSET('Smelter Look-up'!$C$4,$V128-4,0)&amp;"")</f>
        <v>Samduck Precious Metals</v>
      </c>
      <c r="S128" s="225" t="str">
        <f t="shared" ca="1" si="15"/>
        <v>KR</v>
      </c>
      <c r="T128" s="225" t="str">
        <f ca="1">IF(B128="","",IF(ISERROR(MATCH($J128,SorP!$B$1:$B$6230,0)),"",INDIRECT("'SorP'!$A$"&amp;MATCH($J128,SorP!$B$1:$B$6230,0))))</f>
        <v>KR-28</v>
      </c>
      <c r="U128" s="241"/>
      <c r="V128" s="275">
        <f ca="1">IF(C128="",NA(),MATCH($B128&amp;$C128,'Smelter Look-up'!$J:$J,0))</f>
        <v>210</v>
      </c>
      <c r="W128" s="276"/>
      <c r="X128" s="276">
        <f t="shared" ca="1" si="16"/>
        <v>0</v>
      </c>
      <c r="Y128" s="276"/>
      <c r="Z128" s="276"/>
      <c r="AB128" s="278" t="str">
        <f t="shared" ca="1" si="17"/>
        <v>GoldSamduck Precious Metals</v>
      </c>
    </row>
    <row r="129" spans="1:28" s="277" customFormat="1" ht="20.25">
      <c r="A129" s="450" t="s">
        <v>2314</v>
      </c>
      <c r="B129" s="217" t="str">
        <f ca="1">IF(LEN(A129)=0,"",INDEX('Smelter Look-up'!$A:$A,MATCH($A129,'Smelter Look-up'!$E:$E,0)))</f>
        <v>Gold</v>
      </c>
      <c r="C129" s="221" t="str">
        <f ca="1">IF(LEN(A129)=0,"",INDEX('Smelter Look-up'!$C:$C,MATCH($A129,'Smelter Look-up'!$E:$E,0)))</f>
        <v>SAXONIA Edelmetalle GmbH</v>
      </c>
      <c r="D129" s="283"/>
      <c r="E129" s="217" t="str">
        <f ca="1">IF(ISERROR($V129),"",OFFSET('Smelter Look-up'!$D$4,$V129-4,0)&amp;"")</f>
        <v>GERMANY</v>
      </c>
      <c r="F129" s="217" t="str">
        <f ca="1">IF(ISERROR($V129),"",OFFSET('Smelter Look-up'!$E$4,$V129-4,0))</f>
        <v>CID002777</v>
      </c>
      <c r="G129" s="217" t="str">
        <f ca="1">IF(C129=$X$4,"Enter smelter details",IF(ISERROR($V129),"",OFFSET('Smelter Look-up'!$F$4,$V129-4,0)))</f>
        <v>RMI</v>
      </c>
      <c r="H129" s="218">
        <f ca="1">IF(ISERROR($V129),"",OFFSET('Smelter Look-up'!$G$4,$V129-4,0))</f>
        <v>0</v>
      </c>
      <c r="I129" s="219" t="str">
        <f ca="1">IF(ISERROR($V129),"",OFFSET('Smelter Look-up'!$H$4,$V129-4,0))</f>
        <v>Halsbrücke</v>
      </c>
      <c r="J129" s="219" t="str">
        <f ca="1">IF(ISERROR($V129),"",OFFSET('Smelter Look-up'!$I$4,$V129-4,0))</f>
        <v>Sachsen</v>
      </c>
      <c r="K129" s="273"/>
      <c r="L129" s="273"/>
      <c r="M129" s="273"/>
      <c r="N129" s="273"/>
      <c r="O129" s="273"/>
      <c r="P129" s="220"/>
      <c r="Q129" s="274"/>
      <c r="R129" s="217" t="str">
        <f ca="1">IF(ISERROR($V129),"",OFFSET('Smelter Look-up'!$C$4,$V129-4,0)&amp;"")</f>
        <v>SAXONIA Edelmetalle GmbH</v>
      </c>
      <c r="S129" s="225" t="str">
        <f t="shared" ca="1" si="15"/>
        <v>DE</v>
      </c>
      <c r="T129" s="225" t="str">
        <f ca="1">IF(B129="","",IF(ISERROR(MATCH($J129,SorP!$B$1:$B$6230,0)),"",INDIRECT("'SorP'!$A$"&amp;MATCH($J129,SorP!$B$1:$B$6230,0))))</f>
        <v>DE-SN</v>
      </c>
      <c r="U129" s="241"/>
      <c r="V129" s="275">
        <f ca="1">IF(C129="",NA(),MATCH($B129&amp;$C129,'Smelter Look-up'!$J:$J,0))</f>
        <v>212</v>
      </c>
      <c r="W129" s="276"/>
      <c r="X129" s="276">
        <f t="shared" ca="1" si="16"/>
        <v>0</v>
      </c>
      <c r="Y129" s="276"/>
      <c r="Z129" s="276"/>
      <c r="AB129" s="278" t="str">
        <f t="shared" ca="1" si="17"/>
        <v>GoldSAXONIA Edelmetalle GmbH</v>
      </c>
    </row>
    <row r="130" spans="1:28" s="277" customFormat="1" ht="20.25">
      <c r="A130" s="450" t="s">
        <v>743</v>
      </c>
      <c r="B130" s="217" t="str">
        <f ca="1">IF(LEN(A130)=0,"",INDEX('Smelter Look-up'!$A:$A,MATCH($A130,'Smelter Look-up'!$E:$E,0)))</f>
        <v>Gold</v>
      </c>
      <c r="C130" s="221" t="str">
        <f ca="1">IF(LEN(A130)=0,"",INDEX('Smelter Look-up'!$C:$C,MATCH($A130,'Smelter Look-up'!$E:$E,0)))</f>
        <v>SEMPSA Joyeria Plateria S.A.</v>
      </c>
      <c r="D130" s="283"/>
      <c r="E130" s="217" t="str">
        <f ca="1">IF(ISERROR($V130),"",OFFSET('Smelter Look-up'!$D$4,$V130-4,0)&amp;"")</f>
        <v>SPAIN</v>
      </c>
      <c r="F130" s="217" t="str">
        <f ca="1">IF(ISERROR($V130),"",OFFSET('Smelter Look-up'!$E$4,$V130-4,0))</f>
        <v>CID001585</v>
      </c>
      <c r="G130" s="217" t="str">
        <f ca="1">IF(C130=$X$4,"Enter smelter details",IF(ISERROR($V130),"",OFFSET('Smelter Look-up'!$F$4,$V130-4,0)))</f>
        <v>RMI</v>
      </c>
      <c r="H130" s="218">
        <f ca="1">IF(ISERROR($V130),"",OFFSET('Smelter Look-up'!$G$4,$V130-4,0))</f>
        <v>0</v>
      </c>
      <c r="I130" s="219" t="str">
        <f ca="1">IF(ISERROR($V130),"",OFFSET('Smelter Look-up'!$H$4,$V130-4,0))</f>
        <v>Madrid</v>
      </c>
      <c r="J130" s="219" t="str">
        <f ca="1">IF(ISERROR($V130),"",OFFSET('Smelter Look-up'!$I$4,$V130-4,0))</f>
        <v>Madrid, Comunidad de</v>
      </c>
      <c r="K130" s="273"/>
      <c r="L130" s="273"/>
      <c r="M130" s="273"/>
      <c r="N130" s="273"/>
      <c r="O130" s="273"/>
      <c r="P130" s="220"/>
      <c r="Q130" s="274"/>
      <c r="R130" s="217" t="str">
        <f ca="1">IF(ISERROR($V130),"",OFFSET('Smelter Look-up'!$C$4,$V130-4,0)&amp;"")</f>
        <v>SEMPSA Joyeria Plateria S.A.</v>
      </c>
      <c r="S130" s="225" t="str">
        <f t="shared" ca="1" si="15"/>
        <v>ES</v>
      </c>
      <c r="T130" s="225" t="str">
        <f ca="1">IF(B130="","",IF(ISERROR(MATCH($J130,SorP!$B$1:$B$6230,0)),"",INDIRECT("'SorP'!$A$"&amp;MATCH($J130,SorP!$B$1:$B$6230,0))))</f>
        <v>ES-MD</v>
      </c>
      <c r="U130" s="241"/>
      <c r="V130" s="275">
        <f ca="1">IF(C130="",NA(),MATCH($B130&amp;$C130,'Smelter Look-up'!$J:$J,0))</f>
        <v>214</v>
      </c>
      <c r="W130" s="276"/>
      <c r="X130" s="276">
        <f t="shared" ca="1" si="16"/>
        <v>0</v>
      </c>
      <c r="Y130" s="276"/>
      <c r="Z130" s="276"/>
      <c r="AB130" s="278" t="str">
        <f t="shared" ca="1" si="17"/>
        <v>GoldSEMPSA Joyeria Plateria S.A.</v>
      </c>
    </row>
    <row r="131" spans="1:28" s="277" customFormat="1" ht="20.25">
      <c r="A131" s="450" t="s">
        <v>744</v>
      </c>
      <c r="B131" s="217" t="str">
        <f ca="1">IF(LEN(A131)=0,"",INDEX('Smelter Look-up'!$A:$A,MATCH($A131,'Smelter Look-up'!$E:$E,0)))</f>
        <v>Gold</v>
      </c>
      <c r="C131" s="221" t="str">
        <f ca="1">IF(LEN(A131)=0,"",INDEX('Smelter Look-up'!$C:$C,MATCH($A131,'Smelter Look-up'!$E:$E,0)))</f>
        <v>Shandong Zhaojin Gold &amp; Silver Refinery Co., Ltd.</v>
      </c>
      <c r="D131" s="283"/>
      <c r="E131" s="217" t="str">
        <f ca="1">IF(ISERROR($V131),"",OFFSET('Smelter Look-up'!$D$4,$V131-4,0)&amp;"")</f>
        <v>CHINA</v>
      </c>
      <c r="F131" s="217" t="str">
        <f ca="1">IF(ISERROR($V131),"",OFFSET('Smelter Look-up'!$E$4,$V131-4,0))</f>
        <v>CID001622</v>
      </c>
      <c r="G131" s="217" t="str">
        <f ca="1">IF(C131=$X$4,"Enter smelter details",IF(ISERROR($V131),"",OFFSET('Smelter Look-up'!$F$4,$V131-4,0)))</f>
        <v>RMI</v>
      </c>
      <c r="H131" s="218">
        <f ca="1">IF(ISERROR($V131),"",OFFSET('Smelter Look-up'!$G$4,$V131-4,0))</f>
        <v>0</v>
      </c>
      <c r="I131" s="219" t="str">
        <f ca="1">IF(ISERROR($V131),"",OFFSET('Smelter Look-up'!$H$4,$V131-4,0))</f>
        <v>Zhaoyuan</v>
      </c>
      <c r="J131" s="219" t="str">
        <f ca="1">IF(ISERROR($V131),"",OFFSET('Smelter Look-up'!$I$4,$V131-4,0))</f>
        <v>Shandong Sheng</v>
      </c>
      <c r="K131" s="273"/>
      <c r="L131" s="273"/>
      <c r="M131" s="273"/>
      <c r="N131" s="273"/>
      <c r="O131" s="273"/>
      <c r="P131" s="220"/>
      <c r="Q131" s="274"/>
      <c r="R131" s="217" t="str">
        <f ca="1">IF(ISERROR($V131),"",OFFSET('Smelter Look-up'!$C$4,$V131-4,0)&amp;"")</f>
        <v>Shandong Zhaojin Gold &amp; Silver Refinery Co., Ltd.</v>
      </c>
      <c r="S131" s="225" t="str">
        <f t="shared" ca="1" si="15"/>
        <v>CN</v>
      </c>
      <c r="T131" s="225" t="str">
        <f ca="1">IF(B131="","",IF(ISERROR(MATCH($J131,SorP!$B$1:$B$6230,0)),"",INDIRECT("'SorP'!$A$"&amp;MATCH($J131,SorP!$B$1:$B$6230,0))))</f>
        <v>CN-SD</v>
      </c>
      <c r="U131" s="241"/>
      <c r="V131" s="275">
        <f ca="1">IF(C131="",NA(),MATCH($B131&amp;$C131,'Smelter Look-up'!$J:$J,0))</f>
        <v>223</v>
      </c>
      <c r="W131" s="276"/>
      <c r="X131" s="276">
        <f t="shared" ca="1" si="16"/>
        <v>0</v>
      </c>
      <c r="Y131" s="276"/>
      <c r="Z131" s="276"/>
      <c r="AB131" s="278" t="str">
        <f t="shared" ca="1" si="17"/>
        <v>GoldShandong Zhaojin Gold &amp; Silver Refinery Co., Ltd.</v>
      </c>
    </row>
    <row r="132" spans="1:28" s="277" customFormat="1" ht="20.25">
      <c r="A132" s="450" t="s">
        <v>1415</v>
      </c>
      <c r="B132" s="217" t="str">
        <f ca="1">IF(LEN(A132)=0,"",INDEX('Smelter Look-up'!$A:$A,MATCH($A132,'Smelter Look-up'!$E:$E,0)))</f>
        <v>Gold</v>
      </c>
      <c r="C132" s="221" t="str">
        <f ca="1">IF(LEN(A132)=0,"",INDEX('Smelter Look-up'!$C:$C,MATCH($A132,'Smelter Look-up'!$E:$E,0)))</f>
        <v>Sichuan Tianze Precious Metals Co., Ltd.</v>
      </c>
      <c r="D132" s="283"/>
      <c r="E132" s="217" t="str">
        <f ca="1">IF(ISERROR($V132),"",OFFSET('Smelter Look-up'!$D$4,$V132-4,0)&amp;"")</f>
        <v>CHINA</v>
      </c>
      <c r="F132" s="217" t="str">
        <f ca="1">IF(ISERROR($V132),"",OFFSET('Smelter Look-up'!$E$4,$V132-4,0))</f>
        <v>CID001736</v>
      </c>
      <c r="G132" s="217" t="str">
        <f ca="1">IF(C132=$X$4,"Enter smelter details",IF(ISERROR($V132),"",OFFSET('Smelter Look-up'!$F$4,$V132-4,0)))</f>
        <v>RMI</v>
      </c>
      <c r="H132" s="218">
        <f ca="1">IF(ISERROR($V132),"",OFFSET('Smelter Look-up'!$G$4,$V132-4,0))</f>
        <v>0</v>
      </c>
      <c r="I132" s="219" t="str">
        <f ca="1">IF(ISERROR($V132),"",OFFSET('Smelter Look-up'!$H$4,$V132-4,0))</f>
        <v>Chengdu</v>
      </c>
      <c r="J132" s="219" t="str">
        <f ca="1">IF(ISERROR($V132),"",OFFSET('Smelter Look-up'!$I$4,$V132-4,0))</f>
        <v>Sichuan Sheng</v>
      </c>
      <c r="K132" s="273"/>
      <c r="L132" s="273"/>
      <c r="M132" s="273"/>
      <c r="N132" s="273"/>
      <c r="O132" s="273"/>
      <c r="P132" s="220"/>
      <c r="Q132" s="274"/>
      <c r="R132" s="217" t="str">
        <f ca="1">IF(ISERROR($V132),"",OFFSET('Smelter Look-up'!$C$4,$V132-4,0)&amp;"")</f>
        <v>Sichuan Tianze Precious Metals Co., Ltd.</v>
      </c>
      <c r="S132" s="225" t="str">
        <f t="shared" ca="1" si="15"/>
        <v>CN</v>
      </c>
      <c r="T132" s="225" t="str">
        <f ca="1">IF(B132="","",IF(ISERROR(MATCH($J132,SorP!$B$1:$B$6230,0)),"",INDIRECT("'SorP'!$A$"&amp;MATCH($J132,SorP!$B$1:$B$6230,0))))</f>
        <v>CN-SC</v>
      </c>
      <c r="U132" s="241"/>
      <c r="V132" s="275">
        <f ca="1">IF(C132="",NA(),MATCH($B132&amp;$C132,'Smelter Look-up'!$J:$J,0))</f>
        <v>228</v>
      </c>
      <c r="W132" s="276"/>
      <c r="X132" s="276">
        <f t="shared" ca="1" si="16"/>
        <v>0</v>
      </c>
      <c r="Y132" s="276"/>
      <c r="Z132" s="276"/>
      <c r="AB132" s="278" t="str">
        <f t="shared" ca="1" si="17"/>
        <v>GoldSichuan Tianze Precious Metals Co., Ltd.</v>
      </c>
    </row>
    <row r="133" spans="1:28" s="277" customFormat="1" ht="20.25">
      <c r="A133" s="450" t="s">
        <v>1417</v>
      </c>
      <c r="B133" s="217" t="str">
        <f ca="1">IF(LEN(A133)=0,"",INDEX('Smelter Look-up'!$A:$A,MATCH($A133,'Smelter Look-up'!$E:$E,0)))</f>
        <v>Gold</v>
      </c>
      <c r="C133" s="221" t="str">
        <f ca="1">IF(LEN(A133)=0,"",INDEX('Smelter Look-up'!$C:$C,MATCH($A133,'Smelter Look-up'!$E:$E,0)))</f>
        <v>Singway Technology Co., Ltd.</v>
      </c>
      <c r="D133" s="283"/>
      <c r="E133" s="217" t="str">
        <f ca="1">IF(ISERROR($V133),"",OFFSET('Smelter Look-up'!$D$4,$V133-4,0)&amp;"")</f>
        <v>TAIWAN, PROVINCE OF CHINA</v>
      </c>
      <c r="F133" s="217" t="str">
        <f ca="1">IF(ISERROR($V133),"",OFFSET('Smelter Look-up'!$E$4,$V133-4,0))</f>
        <v>CID002516</v>
      </c>
      <c r="G133" s="217" t="str">
        <f ca="1">IF(C133=$X$4,"Enter smelter details",IF(ISERROR($V133),"",OFFSET('Smelter Look-up'!$F$4,$V133-4,0)))</f>
        <v>RMI</v>
      </c>
      <c r="H133" s="218">
        <f ca="1">IF(ISERROR($V133),"",OFFSET('Smelter Look-up'!$G$4,$V133-4,0))</f>
        <v>0</v>
      </c>
      <c r="I133" s="219" t="str">
        <f ca="1">IF(ISERROR($V133),"",OFFSET('Smelter Look-up'!$H$4,$V133-4,0))</f>
        <v>Dayuan</v>
      </c>
      <c r="J133" s="219" t="str">
        <f ca="1">IF(ISERROR($V133),"",OFFSET('Smelter Look-up'!$I$4,$V133-4,0))</f>
        <v>Taoyuan</v>
      </c>
      <c r="K133" s="273"/>
      <c r="L133" s="273"/>
      <c r="M133" s="273"/>
      <c r="N133" s="273"/>
      <c r="O133" s="273"/>
      <c r="P133" s="220"/>
      <c r="Q133" s="274"/>
      <c r="R133" s="217" t="str">
        <f ca="1">IF(ISERROR($V133),"",OFFSET('Smelter Look-up'!$C$4,$V133-4,0)&amp;"")</f>
        <v>Singway Technology Co., Ltd.</v>
      </c>
      <c r="S133" s="225" t="str">
        <f t="shared" ref="S133" ca="1" si="18">IF(B133="","",IF(ISERROR(MATCH($E133,CL,0)),"Unknown",INDIRECT("'C'!$A$"&amp;MATCH($E133,CL,0)+1)))</f>
        <v>TW</v>
      </c>
      <c r="T133" s="225" t="str">
        <f ca="1">IF(B133="","",IF(ISERROR(MATCH($J133,SorP!$B$1:$B$6230,0)),"",INDIRECT("'SorP'!$A$"&amp;MATCH($J133,SorP!$B$1:$B$6230,0))))</f>
        <v>TW-TAO</v>
      </c>
      <c r="U133" s="241"/>
      <c r="V133" s="275">
        <f ca="1">IF(C133="",NA(),MATCH($B133&amp;$C133,'Smelter Look-up'!$J:$J,0))</f>
        <v>230</v>
      </c>
      <c r="W133" s="276"/>
      <c r="X133" s="276">
        <f t="shared" ref="X133" ca="1" si="19">IF(AND(C133="Smelter not listed",OR(LEN(D133)=0,LEN(E133)=0)),1,0)</f>
        <v>0</v>
      </c>
      <c r="Y133" s="276"/>
      <c r="Z133" s="276"/>
      <c r="AB133" s="278" t="str">
        <f t="shared" ref="AB133" ca="1" si="20">B133&amp;C133</f>
        <v>GoldSingway Technology Co., Ltd.</v>
      </c>
    </row>
    <row r="134" spans="1:28" s="277" customFormat="1" ht="20.25">
      <c r="A134" s="450" t="s">
        <v>745</v>
      </c>
      <c r="B134" s="217" t="str">
        <f ca="1">IF(LEN(A134)=0,"",INDEX('Smelter Look-up'!$A:$A,MATCH($A134,'Smelter Look-up'!$E:$E,0)))</f>
        <v>Gold</v>
      </c>
      <c r="C134" s="221" t="str">
        <f ca="1">IF(LEN(A134)=0,"",INDEX('Smelter Look-up'!$C:$C,MATCH($A134,'Smelter Look-up'!$E:$E,0)))</f>
        <v>SOE Shyolkovsky Factory of Secondary Precious Metals</v>
      </c>
      <c r="D134" s="283"/>
      <c r="E134" s="217" t="str">
        <f ca="1">IF(ISERROR($V134),"",OFFSET('Smelter Look-up'!$D$4,$V134-4,0)&amp;"")</f>
        <v>RUSSIAN FEDERATION</v>
      </c>
      <c r="F134" s="217" t="str">
        <f ca="1">IF(ISERROR($V134),"",OFFSET('Smelter Look-up'!$E$4,$V134-4,0))</f>
        <v>CID001756</v>
      </c>
      <c r="G134" s="217" t="str">
        <f ca="1">IF(C134=$X$4,"Enter smelter details",IF(ISERROR($V134),"",OFFSET('Smelter Look-up'!$F$4,$V134-4,0)))</f>
        <v>RMI</v>
      </c>
      <c r="H134" s="218">
        <f ca="1">IF(ISERROR($V134),"",OFFSET('Smelter Look-up'!$G$4,$V134-4,0))</f>
        <v>0</v>
      </c>
      <c r="I134" s="219" t="str">
        <f ca="1">IF(ISERROR($V134),"",OFFSET('Smelter Look-up'!$H$4,$V134-4,0))</f>
        <v>Shyolkovo</v>
      </c>
      <c r="J134" s="219" t="str">
        <f ca="1">IF(ISERROR($V134),"",OFFSET('Smelter Look-up'!$I$4,$V134-4,0))</f>
        <v>Moskovskaja oblast'</v>
      </c>
      <c r="K134" s="273"/>
      <c r="L134" s="273"/>
      <c r="M134" s="273"/>
      <c r="N134" s="273"/>
      <c r="O134" s="273"/>
      <c r="P134" s="220"/>
      <c r="Q134" s="274"/>
      <c r="R134" s="217" t="str">
        <f ca="1">IF(ISERROR($V134),"",OFFSET('Smelter Look-up'!$C$4,$V134-4,0)&amp;"")</f>
        <v>SOE Shyolkovsky Factory of Secondary Precious Metals</v>
      </c>
      <c r="S134" s="225" t="str">
        <f t="shared" ref="S134:S165" ca="1" si="21">IF(B134="","",IF(ISERROR(MATCH($E134,CL,0)),"Unknown",INDIRECT("'C'!$A$"&amp;MATCH($E134,CL,0)+1)))</f>
        <v>RU</v>
      </c>
      <c r="T134" s="225" t="str">
        <f ca="1">IF(B134="","",IF(ISERROR(MATCH($J134,SorP!$B$1:$B$6230,0)),"",INDIRECT("'SorP'!$A$"&amp;MATCH($J134,SorP!$B$1:$B$6230,0))))</f>
        <v>RU-MOS</v>
      </c>
      <c r="U134" s="241"/>
      <c r="V134" s="275">
        <f ca="1">IF(C134="",NA(),MATCH($B134&amp;$C134,'Smelter Look-up'!$J:$J,0))</f>
        <v>232</v>
      </c>
      <c r="W134" s="276"/>
      <c r="X134" s="276">
        <f t="shared" ref="X134:X165" ca="1" si="22">IF(AND(C134="Smelter not listed",OR(LEN(D134)=0,LEN(E134)=0)),1,0)</f>
        <v>0</v>
      </c>
      <c r="Y134" s="276"/>
      <c r="Z134" s="276"/>
      <c r="AB134" s="278" t="str">
        <f t="shared" ref="AB134:AB165" ca="1" si="23">B134&amp;C134</f>
        <v>GoldSOE Shyolkovsky Factory of Secondary Precious Metals</v>
      </c>
    </row>
    <row r="135" spans="1:28" s="277" customFormat="1" ht="20.25">
      <c r="A135" s="450" t="s">
        <v>746</v>
      </c>
      <c r="B135" s="217" t="str">
        <f ca="1">IF(LEN(A135)=0,"",INDEX('Smelter Look-up'!$A:$A,MATCH($A135,'Smelter Look-up'!$E:$E,0)))</f>
        <v>Gold</v>
      </c>
      <c r="C135" s="221" t="str">
        <f ca="1">IF(LEN(A135)=0,"",INDEX('Smelter Look-up'!$C:$C,MATCH($A135,'Smelter Look-up'!$E:$E,0)))</f>
        <v>Solar Applied Materials Technology Corp.</v>
      </c>
      <c r="D135" s="283"/>
      <c r="E135" s="217" t="str">
        <f ca="1">IF(ISERROR($V135),"",OFFSET('Smelter Look-up'!$D$4,$V135-4,0)&amp;"")</f>
        <v>TAIWAN, PROVINCE OF CHINA</v>
      </c>
      <c r="F135" s="217" t="str">
        <f ca="1">IF(ISERROR($V135),"",OFFSET('Smelter Look-up'!$E$4,$V135-4,0))</f>
        <v>CID001761</v>
      </c>
      <c r="G135" s="217" t="str">
        <f ca="1">IF(C135=$X$4,"Enter smelter details",IF(ISERROR($V135),"",OFFSET('Smelter Look-up'!$F$4,$V135-4,0)))</f>
        <v>RMI</v>
      </c>
      <c r="H135" s="218">
        <f ca="1">IF(ISERROR($V135),"",OFFSET('Smelter Look-up'!$G$4,$V135-4,0))</f>
        <v>0</v>
      </c>
      <c r="I135" s="219" t="str">
        <f ca="1">IF(ISERROR($V135),"",OFFSET('Smelter Look-up'!$H$4,$V135-4,0))</f>
        <v>Tainan City</v>
      </c>
      <c r="J135" s="219" t="str">
        <f ca="1">IF(ISERROR($V135),"",OFFSET('Smelter Look-up'!$I$4,$V135-4,0))</f>
        <v>Tainan</v>
      </c>
      <c r="K135" s="273"/>
      <c r="L135" s="273"/>
      <c r="M135" s="273"/>
      <c r="N135" s="273"/>
      <c r="O135" s="273"/>
      <c r="P135" s="220"/>
      <c r="Q135" s="274"/>
      <c r="R135" s="217" t="str">
        <f ca="1">IF(ISERROR($V135),"",OFFSET('Smelter Look-up'!$C$4,$V135-4,0)&amp;"")</f>
        <v>Solar Applied Materials Technology Corp.</v>
      </c>
      <c r="S135" s="225" t="str">
        <f t="shared" ca="1" si="21"/>
        <v>TW</v>
      </c>
      <c r="T135" s="225" t="str">
        <f ca="1">IF(B135="","",IF(ISERROR(MATCH($J135,SorP!$B$1:$B$6230,0)),"",INDIRECT("'SorP'!$A$"&amp;MATCH($J135,SorP!$B$1:$B$6230,0))))</f>
        <v>TW-TNN</v>
      </c>
      <c r="U135" s="241"/>
      <c r="V135" s="275">
        <f ca="1">IF(C135="",NA(),MATCH($B135&amp;$C135,'Smelter Look-up'!$J:$J,0))</f>
        <v>233</v>
      </c>
      <c r="W135" s="276"/>
      <c r="X135" s="276">
        <f t="shared" ca="1" si="22"/>
        <v>0</v>
      </c>
      <c r="Y135" s="276"/>
      <c r="Z135" s="276"/>
      <c r="AB135" s="278" t="str">
        <f t="shared" ca="1" si="23"/>
        <v>GoldSolar Applied Materials Technology Corp.</v>
      </c>
    </row>
    <row r="136" spans="1:28" s="277" customFormat="1" ht="20.25">
      <c r="A136" s="450" t="s">
        <v>747</v>
      </c>
      <c r="B136" s="217" t="str">
        <f ca="1">IF(LEN(A136)=0,"",INDEX('Smelter Look-up'!$A:$A,MATCH($A136,'Smelter Look-up'!$E:$E,0)))</f>
        <v>Gold</v>
      </c>
      <c r="C136" s="221" t="str">
        <f ca="1">IF(LEN(A136)=0,"",INDEX('Smelter Look-up'!$C:$C,MATCH($A136,'Smelter Look-up'!$E:$E,0)))</f>
        <v>Sumitomo Metal Mining Co., Ltd.</v>
      </c>
      <c r="D136" s="283"/>
      <c r="E136" s="217" t="str">
        <f ca="1">IF(ISERROR($V136),"",OFFSET('Smelter Look-up'!$D$4,$V136-4,0)&amp;"")</f>
        <v>JAPAN</v>
      </c>
      <c r="F136" s="217" t="str">
        <f ca="1">IF(ISERROR($V136),"",OFFSET('Smelter Look-up'!$E$4,$V136-4,0))</f>
        <v>CID001798</v>
      </c>
      <c r="G136" s="217" t="str">
        <f ca="1">IF(C136=$X$4,"Enter smelter details",IF(ISERROR($V136),"",OFFSET('Smelter Look-up'!$F$4,$V136-4,0)))</f>
        <v>RMI</v>
      </c>
      <c r="H136" s="218">
        <f ca="1">IF(ISERROR($V136),"",OFFSET('Smelter Look-up'!$G$4,$V136-4,0))</f>
        <v>0</v>
      </c>
      <c r="I136" s="219" t="str">
        <f ca="1">IF(ISERROR($V136),"",OFFSET('Smelter Look-up'!$H$4,$V136-4,0))</f>
        <v>Saijo</v>
      </c>
      <c r="J136" s="219" t="str">
        <f ca="1">IF(ISERROR($V136),"",OFFSET('Smelter Look-up'!$I$4,$V136-4,0))</f>
        <v>Ehime</v>
      </c>
      <c r="K136" s="273"/>
      <c r="L136" s="273"/>
      <c r="M136" s="273"/>
      <c r="N136" s="273"/>
      <c r="O136" s="273"/>
      <c r="P136" s="220"/>
      <c r="Q136" s="274"/>
      <c r="R136" s="217" t="str">
        <f ca="1">IF(ISERROR($V136),"",OFFSET('Smelter Look-up'!$C$4,$V136-4,0)&amp;"")</f>
        <v>Sumitomo Metal Mining Co., Ltd.</v>
      </c>
      <c r="S136" s="225" t="str">
        <f t="shared" ca="1" si="21"/>
        <v>JP</v>
      </c>
      <c r="T136" s="225" t="str">
        <f ca="1">IF(B136="","",IF(ISERROR(MATCH($J136,SorP!$B$1:$B$6230,0)),"",INDIRECT("'SorP'!$A$"&amp;MATCH($J136,SorP!$B$1:$B$6230,0))))</f>
        <v>JP-38</v>
      </c>
      <c r="U136" s="241"/>
      <c r="V136" s="275">
        <f ca="1">IF(C136="",NA(),MATCH($B136&amp;$C136,'Smelter Look-up'!$J:$J,0))</f>
        <v>240</v>
      </c>
      <c r="W136" s="276"/>
      <c r="X136" s="276">
        <f t="shared" ca="1" si="22"/>
        <v>0</v>
      </c>
      <c r="Y136" s="276"/>
      <c r="Z136" s="276"/>
      <c r="AB136" s="278" t="str">
        <f t="shared" ca="1" si="23"/>
        <v>GoldSumitomo Metal Mining Co., Ltd.</v>
      </c>
    </row>
    <row r="137" spans="1:28" s="277" customFormat="1" ht="20.25">
      <c r="A137" s="450" t="s">
        <v>2596</v>
      </c>
      <c r="B137" s="217" t="str">
        <f ca="1">IF(LEN(A137)=0,"",INDEX('Smelter Look-up'!$A:$A,MATCH($A137,'Smelter Look-up'!$E:$E,0)))</f>
        <v>Gold</v>
      </c>
      <c r="C137" s="221" t="str">
        <f ca="1">IF(LEN(A137)=0,"",INDEX('Smelter Look-up'!$C:$C,MATCH($A137,'Smelter Look-up'!$E:$E,0)))</f>
        <v>SungEel HiMetal Co., Ltd.</v>
      </c>
      <c r="D137" s="283"/>
      <c r="E137" s="217" t="str">
        <f ca="1">IF(ISERROR($V137),"",OFFSET('Smelter Look-up'!$D$4,$V137-4,0)&amp;"")</f>
        <v>KOREA, REPUBLIC OF</v>
      </c>
      <c r="F137" s="217" t="str">
        <f ca="1">IF(ISERROR($V137),"",OFFSET('Smelter Look-up'!$E$4,$V137-4,0))</f>
        <v>CID002918</v>
      </c>
      <c r="G137" s="217" t="str">
        <f ca="1">IF(C137=$X$4,"Enter smelter details",IF(ISERROR($V137),"",OFFSET('Smelter Look-up'!$F$4,$V137-4,0)))</f>
        <v>RMI</v>
      </c>
      <c r="H137" s="218">
        <f ca="1">IF(ISERROR($V137),"",OFFSET('Smelter Look-up'!$G$4,$V137-4,0))</f>
        <v>0</v>
      </c>
      <c r="I137" s="219" t="str">
        <f ca="1">IF(ISERROR($V137),"",OFFSET('Smelter Look-up'!$H$4,$V137-4,0))</f>
        <v>Gunsan-si</v>
      </c>
      <c r="J137" s="219" t="str">
        <f ca="1">IF(ISERROR($V137),"",OFFSET('Smelter Look-up'!$I$4,$V137-4,0))</f>
        <v>Jeollabuk-do</v>
      </c>
      <c r="K137" s="273"/>
      <c r="L137" s="273"/>
      <c r="M137" s="273"/>
      <c r="N137" s="273"/>
      <c r="O137" s="273"/>
      <c r="P137" s="220"/>
      <c r="Q137" s="274"/>
      <c r="R137" s="217" t="str">
        <f ca="1">IF(ISERROR($V137),"",OFFSET('Smelter Look-up'!$C$4,$V137-4,0)&amp;"")</f>
        <v>SungEel HiMetal Co., Ltd.</v>
      </c>
      <c r="S137" s="225" t="str">
        <f t="shared" ca="1" si="21"/>
        <v>KR</v>
      </c>
      <c r="T137" s="225" t="str">
        <f ca="1">IF(B137="","",IF(ISERROR(MATCH($J137,SorP!$B$1:$B$6230,0)),"",INDIRECT("'SorP'!$A$"&amp;MATCH($J137,SorP!$B$1:$B$6230,0))))</f>
        <v>KR-45</v>
      </c>
      <c r="U137" s="241"/>
      <c r="V137" s="275">
        <f ca="1">IF(C137="",NA(),MATCH($B137&amp;$C137,'Smelter Look-up'!$J:$J,0))</f>
        <v>241</v>
      </c>
      <c r="W137" s="276"/>
      <c r="X137" s="276">
        <f t="shared" ca="1" si="22"/>
        <v>0</v>
      </c>
      <c r="Y137" s="276"/>
      <c r="Z137" s="276"/>
      <c r="AB137" s="278" t="str">
        <f t="shared" ca="1" si="23"/>
        <v>GoldSungEel HiMetal Co., Ltd.</v>
      </c>
    </row>
    <row r="138" spans="1:28" s="277" customFormat="1" ht="20.25">
      <c r="A138" s="450" t="s">
        <v>1747</v>
      </c>
      <c r="B138" s="217" t="str">
        <f ca="1">IF(LEN(A138)=0,"",INDEX('Smelter Look-up'!$A:$A,MATCH($A138,'Smelter Look-up'!$E:$E,0)))</f>
        <v>Gold</v>
      </c>
      <c r="C138" s="221" t="str">
        <f ca="1">IF(LEN(A138)=0,"",INDEX('Smelter Look-up'!$C:$C,MATCH($A138,'Smelter Look-up'!$E:$E,0)))</f>
        <v>T.C.A S.p.A</v>
      </c>
      <c r="D138" s="283"/>
      <c r="E138" s="217" t="str">
        <f ca="1">IF(ISERROR($V138),"",OFFSET('Smelter Look-up'!$D$4,$V138-4,0)&amp;"")</f>
        <v>ITALY</v>
      </c>
      <c r="F138" s="217" t="str">
        <f ca="1">IF(ISERROR($V138),"",OFFSET('Smelter Look-up'!$E$4,$V138-4,0))</f>
        <v>CID002580</v>
      </c>
      <c r="G138" s="217" t="str">
        <f ca="1">IF(C138=$X$4,"Enter smelter details",IF(ISERROR($V138),"",OFFSET('Smelter Look-up'!$F$4,$V138-4,0)))</f>
        <v>RMI</v>
      </c>
      <c r="H138" s="218">
        <f ca="1">IF(ISERROR($V138),"",OFFSET('Smelter Look-up'!$G$4,$V138-4,0))</f>
        <v>0</v>
      </c>
      <c r="I138" s="219" t="str">
        <f ca="1">IF(ISERROR($V138),"",OFFSET('Smelter Look-up'!$H$4,$V138-4,0))</f>
        <v>Capolona</v>
      </c>
      <c r="J138" s="219" t="str">
        <f ca="1">IF(ISERROR($V138),"",OFFSET('Smelter Look-up'!$I$4,$V138-4,0))</f>
        <v>Toscana</v>
      </c>
      <c r="K138" s="273"/>
      <c r="L138" s="273"/>
      <c r="M138" s="273"/>
      <c r="N138" s="273"/>
      <c r="O138" s="273"/>
      <c r="P138" s="220"/>
      <c r="Q138" s="274"/>
      <c r="R138" s="217" t="str">
        <f ca="1">IF(ISERROR($V138),"",OFFSET('Smelter Look-up'!$C$4,$V138-4,0)&amp;"")</f>
        <v>T.C.A S.p.A</v>
      </c>
      <c r="S138" s="225" t="str">
        <f t="shared" ca="1" si="21"/>
        <v>IT</v>
      </c>
      <c r="T138" s="225" t="str">
        <f ca="1">IF(B138="","",IF(ISERROR(MATCH($J138,SorP!$B$1:$B$6230,0)),"",INDIRECT("'SorP'!$A$"&amp;MATCH($J138,SorP!$B$1:$B$6230,0))))</f>
        <v>IT-52</v>
      </c>
      <c r="U138" s="241"/>
      <c r="V138" s="275">
        <f ca="1">IF(C138="",NA(),MATCH($B138&amp;$C138,'Smelter Look-up'!$J:$J,0))</f>
        <v>243</v>
      </c>
      <c r="W138" s="276"/>
      <c r="X138" s="276">
        <f t="shared" ca="1" si="22"/>
        <v>0</v>
      </c>
      <c r="Y138" s="276"/>
      <c r="Z138" s="276"/>
      <c r="AB138" s="278" t="str">
        <f t="shared" ca="1" si="23"/>
        <v>GoldT.C.A S.p.A</v>
      </c>
    </row>
    <row r="139" spans="1:28" s="277" customFormat="1" ht="20.25">
      <c r="A139" s="450" t="s">
        <v>748</v>
      </c>
      <c r="B139" s="217" t="str">
        <f ca="1">IF(LEN(A139)=0,"",INDEX('Smelter Look-up'!$A:$A,MATCH($A139,'Smelter Look-up'!$E:$E,0)))</f>
        <v>Gold</v>
      </c>
      <c r="C139" s="221" t="str">
        <f ca="1">IF(LEN(A139)=0,"",INDEX('Smelter Look-up'!$C:$C,MATCH($A139,'Smelter Look-up'!$E:$E,0)))</f>
        <v>Tanaka Kikinzoku Kogyo K.K.</v>
      </c>
      <c r="D139" s="283"/>
      <c r="E139" s="217" t="str">
        <f ca="1">IF(ISERROR($V139),"",OFFSET('Smelter Look-up'!$D$4,$V139-4,0)&amp;"")</f>
        <v>JAPAN</v>
      </c>
      <c r="F139" s="217" t="str">
        <f ca="1">IF(ISERROR($V139),"",OFFSET('Smelter Look-up'!$E$4,$V139-4,0))</f>
        <v>CID001875</v>
      </c>
      <c r="G139" s="217" t="str">
        <f ca="1">IF(C139=$X$4,"Enter smelter details",IF(ISERROR($V139),"",OFFSET('Smelter Look-up'!$F$4,$V139-4,0)))</f>
        <v>RMI</v>
      </c>
      <c r="H139" s="218">
        <f ca="1">IF(ISERROR($V139),"",OFFSET('Smelter Look-up'!$G$4,$V139-4,0))</f>
        <v>0</v>
      </c>
      <c r="I139" s="219" t="str">
        <f ca="1">IF(ISERROR($V139),"",OFFSET('Smelter Look-up'!$H$4,$V139-4,0))</f>
        <v>Hiratsuka</v>
      </c>
      <c r="J139" s="219" t="str">
        <f ca="1">IF(ISERROR($V139),"",OFFSET('Smelter Look-up'!$I$4,$V139-4,0))</f>
        <v>Kanagawa</v>
      </c>
      <c r="K139" s="273"/>
      <c r="L139" s="273"/>
      <c r="M139" s="273"/>
      <c r="N139" s="273"/>
      <c r="O139" s="273"/>
      <c r="P139" s="220"/>
      <c r="Q139" s="274"/>
      <c r="R139" s="217" t="str">
        <f ca="1">IF(ISERROR($V139),"",OFFSET('Smelter Look-up'!$C$4,$V139-4,0)&amp;"")</f>
        <v>Tanaka Kikinzoku Kogyo K.K.</v>
      </c>
      <c r="S139" s="225" t="str">
        <f t="shared" ca="1" si="21"/>
        <v>JP</v>
      </c>
      <c r="T139" s="225" t="str">
        <f ca="1">IF(B139="","",IF(ISERROR(MATCH($J139,SorP!$B$1:$B$6230,0)),"",INDIRECT("'SorP'!$A$"&amp;MATCH($J139,SorP!$B$1:$B$6230,0))))</f>
        <v>JP-14</v>
      </c>
      <c r="U139" s="241"/>
      <c r="V139" s="275">
        <f ca="1">IF(C139="",NA(),MATCH($B139&amp;$C139,'Smelter Look-up'!$J:$J,0))</f>
        <v>252</v>
      </c>
      <c r="W139" s="276"/>
      <c r="X139" s="276">
        <f t="shared" ca="1" si="22"/>
        <v>0</v>
      </c>
      <c r="Y139" s="276"/>
      <c r="Z139" s="276"/>
      <c r="AB139" s="278" t="str">
        <f t="shared" ca="1" si="23"/>
        <v>GoldTanaka Kikinzoku Kogyo K.K.</v>
      </c>
    </row>
    <row r="140" spans="1:28" s="277" customFormat="1" ht="20.25">
      <c r="A140" s="450" t="s">
        <v>750</v>
      </c>
      <c r="B140" s="217" t="str">
        <f ca="1">IF(LEN(A140)=0,"",INDEX('Smelter Look-up'!$A:$A,MATCH($A140,'Smelter Look-up'!$E:$E,0)))</f>
        <v>Gold</v>
      </c>
      <c r="C140" s="221" t="str">
        <f ca="1">IF(LEN(A140)=0,"",INDEX('Smelter Look-up'!$C:$C,MATCH($A140,'Smelter Look-up'!$E:$E,0)))</f>
        <v>The Refinery of Shandong Gold Mining Co., Ltd.</v>
      </c>
      <c r="D140" s="283"/>
      <c r="E140" s="217" t="str">
        <f ca="1">IF(ISERROR($V140),"",OFFSET('Smelter Look-up'!$D$4,$V140-4,0)&amp;"")</f>
        <v>CHINA</v>
      </c>
      <c r="F140" s="217" t="str">
        <f ca="1">IF(ISERROR($V140),"",OFFSET('Smelter Look-up'!$E$4,$V140-4,0))</f>
        <v>CID001916</v>
      </c>
      <c r="G140" s="217" t="str">
        <f ca="1">IF(C140=$X$4,"Enter smelter details",IF(ISERROR($V140),"",OFFSET('Smelter Look-up'!$F$4,$V140-4,0)))</f>
        <v>RMI</v>
      </c>
      <c r="H140" s="218">
        <f ca="1">IF(ISERROR($V140),"",OFFSET('Smelter Look-up'!$G$4,$V140-4,0))</f>
        <v>0</v>
      </c>
      <c r="I140" s="219" t="str">
        <f ca="1">IF(ISERROR($V140),"",OFFSET('Smelter Look-up'!$H$4,$V140-4,0))</f>
        <v>Laizhou</v>
      </c>
      <c r="J140" s="219" t="str">
        <f ca="1">IF(ISERROR($V140),"",OFFSET('Smelter Look-up'!$I$4,$V140-4,0))</f>
        <v>Shandong Sheng</v>
      </c>
      <c r="K140" s="273"/>
      <c r="L140" s="273"/>
      <c r="M140" s="273"/>
      <c r="N140" s="273"/>
      <c r="O140" s="273"/>
      <c r="P140" s="220"/>
      <c r="Q140" s="274"/>
      <c r="R140" s="217" t="str">
        <f ca="1">IF(ISERROR($V140),"",OFFSET('Smelter Look-up'!$C$4,$V140-4,0)&amp;"")</f>
        <v>The Refinery of Shandong Gold Mining Co., Ltd.</v>
      </c>
      <c r="S140" s="225" t="str">
        <f t="shared" ca="1" si="21"/>
        <v>CN</v>
      </c>
      <c r="T140" s="225" t="str">
        <f ca="1">IF(B140="","",IF(ISERROR(MATCH($J140,SorP!$B$1:$B$6230,0)),"",INDIRECT("'SorP'!$A$"&amp;MATCH($J140,SorP!$B$1:$B$6230,0))))</f>
        <v>CN-SD</v>
      </c>
      <c r="U140" s="241"/>
      <c r="V140" s="275">
        <f ca="1">IF(C140="",NA(),MATCH($B140&amp;$C140,'Smelter Look-up'!$J:$J,0))</f>
        <v>256</v>
      </c>
      <c r="W140" s="276"/>
      <c r="X140" s="276">
        <f t="shared" ca="1" si="22"/>
        <v>0</v>
      </c>
      <c r="Y140" s="276"/>
      <c r="Z140" s="276"/>
      <c r="AB140" s="278" t="str">
        <f t="shared" ca="1" si="23"/>
        <v>GoldThe Refinery of Shandong Gold Mining Co., Ltd.</v>
      </c>
    </row>
    <row r="141" spans="1:28" s="277" customFormat="1" ht="20.25">
      <c r="A141" s="450" t="s">
        <v>751</v>
      </c>
      <c r="B141" s="217" t="str">
        <f ca="1">IF(LEN(A141)=0,"",INDEX('Smelter Look-up'!$A:$A,MATCH($A141,'Smelter Look-up'!$E:$E,0)))</f>
        <v>Gold</v>
      </c>
      <c r="C141" s="221" t="str">
        <f ca="1">IF(LEN(A141)=0,"",INDEX('Smelter Look-up'!$C:$C,MATCH($A141,'Smelter Look-up'!$E:$E,0)))</f>
        <v>Tokuriki Honten Co., Ltd.</v>
      </c>
      <c r="D141" s="283"/>
      <c r="E141" s="217" t="str">
        <f ca="1">IF(ISERROR($V141),"",OFFSET('Smelter Look-up'!$D$4,$V141-4,0)&amp;"")</f>
        <v>JAPAN</v>
      </c>
      <c r="F141" s="217" t="str">
        <f ca="1">IF(ISERROR($V141),"",OFFSET('Smelter Look-up'!$E$4,$V141-4,0))</f>
        <v>CID001938</v>
      </c>
      <c r="G141" s="217" t="str">
        <f ca="1">IF(C141=$X$4,"Enter smelter details",IF(ISERROR($V141),"",OFFSET('Smelter Look-up'!$F$4,$V141-4,0)))</f>
        <v>RMI</v>
      </c>
      <c r="H141" s="218">
        <f ca="1">IF(ISERROR($V141),"",OFFSET('Smelter Look-up'!$G$4,$V141-4,0))</f>
        <v>0</v>
      </c>
      <c r="I141" s="219" t="str">
        <f ca="1">IF(ISERROR($V141),"",OFFSET('Smelter Look-up'!$H$4,$V141-4,0))</f>
        <v>Kuki</v>
      </c>
      <c r="J141" s="219" t="str">
        <f ca="1">IF(ISERROR($V141),"",OFFSET('Smelter Look-up'!$I$4,$V141-4,0))</f>
        <v>Saitama</v>
      </c>
      <c r="K141" s="273"/>
      <c r="L141" s="273"/>
      <c r="M141" s="273"/>
      <c r="N141" s="273"/>
      <c r="O141" s="273"/>
      <c r="P141" s="220"/>
      <c r="Q141" s="274"/>
      <c r="R141" s="217" t="str">
        <f ca="1">IF(ISERROR($V141),"",OFFSET('Smelter Look-up'!$C$4,$V141-4,0)&amp;"")</f>
        <v>Tokuriki Honten Co., Ltd.</v>
      </c>
      <c r="S141" s="225" t="str">
        <f t="shared" ca="1" si="21"/>
        <v>JP</v>
      </c>
      <c r="T141" s="225" t="str">
        <f ca="1">IF(B141="","",IF(ISERROR(MATCH($J141,SorP!$B$1:$B$6230,0)),"",INDIRECT("'SorP'!$A$"&amp;MATCH($J141,SorP!$B$1:$B$6230,0))))</f>
        <v>JP-11</v>
      </c>
      <c r="U141" s="241"/>
      <c r="V141" s="275">
        <f ca="1">IF(C141="",NA(),MATCH($B141&amp;$C141,'Smelter Look-up'!$J:$J,0))</f>
        <v>257</v>
      </c>
      <c r="W141" s="276"/>
      <c r="X141" s="276">
        <f t="shared" ca="1" si="22"/>
        <v>0</v>
      </c>
      <c r="Y141" s="276"/>
      <c r="Z141" s="276"/>
      <c r="AB141" s="278" t="str">
        <f t="shared" ca="1" si="23"/>
        <v>GoldTokuriki Honten Co., Ltd.</v>
      </c>
    </row>
    <row r="142" spans="1:28" s="277" customFormat="1" ht="20.25">
      <c r="A142" s="450" t="s">
        <v>753</v>
      </c>
      <c r="B142" s="217" t="str">
        <f ca="1">IF(LEN(A142)=0,"",INDEX('Smelter Look-up'!$A:$A,MATCH($A142,'Smelter Look-up'!$E:$E,0)))</f>
        <v>Gold</v>
      </c>
      <c r="C142" s="221" t="str">
        <f ca="1">IF(LEN(A142)=0,"",INDEX('Smelter Look-up'!$C:$C,MATCH($A142,'Smelter Look-up'!$E:$E,0)))</f>
        <v>Torecom</v>
      </c>
      <c r="D142" s="283"/>
      <c r="E142" s="217" t="str">
        <f ca="1">IF(ISERROR($V142),"",OFFSET('Smelter Look-up'!$D$4,$V142-4,0)&amp;"")</f>
        <v>KOREA, REPUBLIC OF</v>
      </c>
      <c r="F142" s="217" t="str">
        <f ca="1">IF(ISERROR($V142),"",OFFSET('Smelter Look-up'!$E$4,$V142-4,0))</f>
        <v>CID001955</v>
      </c>
      <c r="G142" s="217" t="str">
        <f ca="1">IF(C142=$X$4,"Enter smelter details",IF(ISERROR($V142),"",OFFSET('Smelter Look-up'!$F$4,$V142-4,0)))</f>
        <v>RMI</v>
      </c>
      <c r="H142" s="218">
        <f ca="1">IF(ISERROR($V142),"",OFFSET('Smelter Look-up'!$G$4,$V142-4,0))</f>
        <v>0</v>
      </c>
      <c r="I142" s="219" t="str">
        <f ca="1">IF(ISERROR($V142),"",OFFSET('Smelter Look-up'!$H$4,$V142-4,0))</f>
        <v>Asan</v>
      </c>
      <c r="J142" s="219" t="str">
        <f ca="1">IF(ISERROR($V142),"",OFFSET('Smelter Look-up'!$I$4,$V142-4,0))</f>
        <v>Chungcheongnam-do</v>
      </c>
      <c r="K142" s="273"/>
      <c r="L142" s="273"/>
      <c r="M142" s="273"/>
      <c r="N142" s="273"/>
      <c r="O142" s="273"/>
      <c r="P142" s="220"/>
      <c r="Q142" s="274"/>
      <c r="R142" s="217" t="str">
        <f ca="1">IF(ISERROR($V142),"",OFFSET('Smelter Look-up'!$C$4,$V142-4,0)&amp;"")</f>
        <v>Torecom</v>
      </c>
      <c r="S142" s="225" t="str">
        <f t="shared" ca="1" si="21"/>
        <v>KR</v>
      </c>
      <c r="T142" s="225" t="str">
        <f ca="1">IF(B142="","",IF(ISERROR(MATCH($J142,SorP!$B$1:$B$6230,0)),"",INDIRECT("'SorP'!$A$"&amp;MATCH($J142,SorP!$B$1:$B$6230,0))))</f>
        <v>KR-44</v>
      </c>
      <c r="U142" s="241"/>
      <c r="V142" s="275">
        <f ca="1">IF(C142="",NA(),MATCH($B142&amp;$C142,'Smelter Look-up'!$J:$J,0))</f>
        <v>262</v>
      </c>
      <c r="W142" s="276"/>
      <c r="X142" s="276">
        <f t="shared" ca="1" si="22"/>
        <v>0</v>
      </c>
      <c r="Y142" s="276"/>
      <c r="Z142" s="276"/>
      <c r="AB142" s="278" t="str">
        <f t="shared" ca="1" si="23"/>
        <v>GoldTorecom</v>
      </c>
    </row>
    <row r="143" spans="1:28" s="277" customFormat="1" ht="20.25">
      <c r="A143" s="450" t="s">
        <v>754</v>
      </c>
      <c r="B143" s="217" t="str">
        <f ca="1">IF(LEN(A143)=0,"",INDEX('Smelter Look-up'!$A:$A,MATCH($A143,'Smelter Look-up'!$E:$E,0)))</f>
        <v>Gold</v>
      </c>
      <c r="C143" s="221" t="str">
        <f ca="1">IF(LEN(A143)=0,"",INDEX('Smelter Look-up'!$C:$C,MATCH($A143,'Smelter Look-up'!$E:$E,0)))</f>
        <v>Umicore Brasil Ltda.</v>
      </c>
      <c r="D143" s="283"/>
      <c r="E143" s="217" t="str">
        <f ca="1">IF(ISERROR($V143),"",OFFSET('Smelter Look-up'!$D$4,$V143-4,0)&amp;"")</f>
        <v>BRAZIL</v>
      </c>
      <c r="F143" s="217" t="str">
        <f ca="1">IF(ISERROR($V143),"",OFFSET('Smelter Look-up'!$E$4,$V143-4,0))</f>
        <v>CID001977</v>
      </c>
      <c r="G143" s="217" t="str">
        <f ca="1">IF(C143=$X$4,"Enter smelter details",IF(ISERROR($V143),"",OFFSET('Smelter Look-up'!$F$4,$V143-4,0)))</f>
        <v>RMI</v>
      </c>
      <c r="H143" s="218">
        <f ca="1">IF(ISERROR($V143),"",OFFSET('Smelter Look-up'!$G$4,$V143-4,0))</f>
        <v>0</v>
      </c>
      <c r="I143" s="219" t="str">
        <f ca="1">IF(ISERROR($V143),"",OFFSET('Smelter Look-up'!$H$4,$V143-4,0))</f>
        <v>Guarulhos</v>
      </c>
      <c r="J143" s="219" t="str">
        <f ca="1">IF(ISERROR($V143),"",OFFSET('Smelter Look-up'!$I$4,$V143-4,0))</f>
        <v>São Paulo</v>
      </c>
      <c r="K143" s="273"/>
      <c r="L143" s="273"/>
      <c r="M143" s="273"/>
      <c r="N143" s="273"/>
      <c r="O143" s="273"/>
      <c r="P143" s="220"/>
      <c r="Q143" s="274"/>
      <c r="R143" s="217" t="str">
        <f ca="1">IF(ISERROR($V143),"",OFFSET('Smelter Look-up'!$C$4,$V143-4,0)&amp;"")</f>
        <v>Umicore Brasil Ltda.</v>
      </c>
      <c r="S143" s="225" t="str">
        <f t="shared" ca="1" si="21"/>
        <v>BR</v>
      </c>
      <c r="T143" s="225" t="str">
        <f ca="1">IF(B143="","",IF(ISERROR(MATCH($J143,SorP!$B$1:$B$6230,0)),"",INDIRECT("'SorP'!$A$"&amp;MATCH($J143,SorP!$B$1:$B$6230,0))))</f>
        <v>BR-SP</v>
      </c>
      <c r="U143" s="241"/>
      <c r="V143" s="275">
        <f ca="1">IF(C143="",NA(),MATCH($B143&amp;$C143,'Smelter Look-up'!$J:$J,0))</f>
        <v>264</v>
      </c>
      <c r="W143" s="276"/>
      <c r="X143" s="276">
        <f t="shared" ca="1" si="22"/>
        <v>0</v>
      </c>
      <c r="Y143" s="276"/>
      <c r="Z143" s="276"/>
      <c r="AB143" s="278" t="str">
        <f t="shared" ca="1" si="23"/>
        <v>GoldUmicore Brasil Ltda.</v>
      </c>
    </row>
    <row r="144" spans="1:28" s="277" customFormat="1" ht="20.25">
      <c r="A144" s="450" t="s">
        <v>150</v>
      </c>
      <c r="B144" s="217" t="str">
        <f ca="1">IF(LEN(A144)=0,"",INDEX('Smelter Look-up'!$A:$A,MATCH($A144,'Smelter Look-up'!$E:$E,0)))</f>
        <v>Gold</v>
      </c>
      <c r="C144" s="221" t="str">
        <f ca="1">IF(LEN(A144)=0,"",INDEX('Smelter Look-up'!$C:$C,MATCH($A144,'Smelter Look-up'!$E:$E,0)))</f>
        <v>Umicore Precious Metals Thailand</v>
      </c>
      <c r="D144" s="283"/>
      <c r="E144" s="217" t="str">
        <f ca="1">IF(ISERROR($V144),"",OFFSET('Smelter Look-up'!$D$4,$V144-4,0)&amp;"")</f>
        <v>THAILAND</v>
      </c>
      <c r="F144" s="217" t="str">
        <f ca="1">IF(ISERROR($V144),"",OFFSET('Smelter Look-up'!$E$4,$V144-4,0))</f>
        <v>CID002314</v>
      </c>
      <c r="G144" s="217" t="str">
        <f ca="1">IF(C144=$X$4,"Enter smelter details",IF(ISERROR($V144),"",OFFSET('Smelter Look-up'!$F$4,$V144-4,0)))</f>
        <v>RMI</v>
      </c>
      <c r="H144" s="218">
        <f ca="1">IF(ISERROR($V144),"",OFFSET('Smelter Look-up'!$G$4,$V144-4,0))</f>
        <v>0</v>
      </c>
      <c r="I144" s="219" t="str">
        <f ca="1">IF(ISERROR($V144),"",OFFSET('Smelter Look-up'!$H$4,$V144-4,0))</f>
        <v>Khwaeng Dok Mai</v>
      </c>
      <c r="J144" s="219" t="str">
        <f ca="1">IF(ISERROR($V144),"",OFFSET('Smelter Look-up'!$I$4,$V144-4,0))</f>
        <v>Krung Thep Maha Nakhon</v>
      </c>
      <c r="K144" s="273"/>
      <c r="L144" s="273"/>
      <c r="M144" s="273"/>
      <c r="N144" s="273"/>
      <c r="O144" s="273"/>
      <c r="P144" s="220"/>
      <c r="Q144" s="274"/>
      <c r="R144" s="217" t="str">
        <f ca="1">IF(ISERROR($V144),"",OFFSET('Smelter Look-up'!$C$4,$V144-4,0)&amp;"")</f>
        <v>Umicore Precious Metals Thailand</v>
      </c>
      <c r="S144" s="225" t="str">
        <f t="shared" ca="1" si="21"/>
        <v>TH</v>
      </c>
      <c r="T144" s="225" t="str">
        <f ca="1">IF(B144="","",IF(ISERROR(MATCH($J144,SorP!$B$1:$B$6230,0)),"",INDIRECT("'SorP'!$A$"&amp;MATCH($J144,SorP!$B$1:$B$6230,0))))</f>
        <v>TH-10</v>
      </c>
      <c r="U144" s="241"/>
      <c r="V144" s="275">
        <f ca="1">IF(C144="",NA(),MATCH($B144&amp;$C144,'Smelter Look-up'!$J:$J,0))</f>
        <v>266</v>
      </c>
      <c r="W144" s="276"/>
      <c r="X144" s="276">
        <f t="shared" ca="1" si="22"/>
        <v>0</v>
      </c>
      <c r="Y144" s="276"/>
      <c r="Z144" s="276"/>
      <c r="AB144" s="278" t="str">
        <f t="shared" ca="1" si="23"/>
        <v>GoldUmicore Precious Metals Thailand</v>
      </c>
    </row>
    <row r="145" spans="1:28" s="277" customFormat="1" ht="20.25">
      <c r="A145" s="450" t="s">
        <v>755</v>
      </c>
      <c r="B145" s="217" t="str">
        <f ca="1">IF(LEN(A145)=0,"",INDEX('Smelter Look-up'!$A:$A,MATCH($A145,'Smelter Look-up'!$E:$E,0)))</f>
        <v>Gold</v>
      </c>
      <c r="C145" s="221" t="str">
        <f ca="1">IF(LEN(A145)=0,"",INDEX('Smelter Look-up'!$C:$C,MATCH($A145,'Smelter Look-up'!$E:$E,0)))</f>
        <v>Umicore S.A. Business Unit Precious Metals Refining</v>
      </c>
      <c r="D145" s="283"/>
      <c r="E145" s="217" t="str">
        <f ca="1">IF(ISERROR($V145),"",OFFSET('Smelter Look-up'!$D$4,$V145-4,0)&amp;"")</f>
        <v>BELGIUM</v>
      </c>
      <c r="F145" s="217" t="str">
        <f ca="1">IF(ISERROR($V145),"",OFFSET('Smelter Look-up'!$E$4,$V145-4,0))</f>
        <v>CID001980</v>
      </c>
      <c r="G145" s="217" t="str">
        <f ca="1">IF(C145=$X$4,"Enter smelter details",IF(ISERROR($V145),"",OFFSET('Smelter Look-up'!$F$4,$V145-4,0)))</f>
        <v>RMI</v>
      </c>
      <c r="H145" s="218">
        <f ca="1">IF(ISERROR($V145),"",OFFSET('Smelter Look-up'!$G$4,$V145-4,0))</f>
        <v>0</v>
      </c>
      <c r="I145" s="219" t="str">
        <f ca="1">IF(ISERROR($V145),"",OFFSET('Smelter Look-up'!$H$4,$V145-4,0))</f>
        <v>Hoboken</v>
      </c>
      <c r="J145" s="219" t="str">
        <f ca="1">IF(ISERROR($V145),"",OFFSET('Smelter Look-up'!$I$4,$V145-4,0))</f>
        <v>Antwerpen</v>
      </c>
      <c r="K145" s="273"/>
      <c r="L145" s="273"/>
      <c r="M145" s="273"/>
      <c r="N145" s="273"/>
      <c r="O145" s="273"/>
      <c r="P145" s="220"/>
      <c r="Q145" s="274"/>
      <c r="R145" s="217" t="str">
        <f ca="1">IF(ISERROR($V145),"",OFFSET('Smelter Look-up'!$C$4,$V145-4,0)&amp;"")</f>
        <v>Umicore S.A. Business Unit Precious Metals Refining</v>
      </c>
      <c r="S145" s="225" t="str">
        <f t="shared" ca="1" si="21"/>
        <v>BE</v>
      </c>
      <c r="T145" s="225" t="str">
        <f ca="1">IF(B145="","",IF(ISERROR(MATCH($J145,SorP!$B$1:$B$6230,0)),"",INDIRECT("'SorP'!$A$"&amp;MATCH($J145,SorP!$B$1:$B$6230,0))))</f>
        <v>BE-VAN</v>
      </c>
      <c r="U145" s="241"/>
      <c r="V145" s="275">
        <f ca="1">IF(C145="",NA(),MATCH($B145&amp;$C145,'Smelter Look-up'!$J:$J,0))</f>
        <v>267</v>
      </c>
      <c r="W145" s="276"/>
      <c r="X145" s="276">
        <f t="shared" ca="1" si="22"/>
        <v>0</v>
      </c>
      <c r="Y145" s="276"/>
      <c r="Z145" s="276"/>
      <c r="AB145" s="278" t="str">
        <f t="shared" ca="1" si="23"/>
        <v>GoldUmicore S.A. Business Unit Precious Metals Refining</v>
      </c>
    </row>
    <row r="146" spans="1:28" s="277" customFormat="1" ht="20.25">
      <c r="A146" s="450" t="s">
        <v>756</v>
      </c>
      <c r="B146" s="217" t="str">
        <f ca="1">IF(LEN(A146)=0,"",INDEX('Smelter Look-up'!$A:$A,MATCH($A146,'Smelter Look-up'!$E:$E,0)))</f>
        <v>Gold</v>
      </c>
      <c r="C146" s="221" t="str">
        <f ca="1">IF(LEN(A146)=0,"",INDEX('Smelter Look-up'!$C:$C,MATCH($A146,'Smelter Look-up'!$E:$E,0)))</f>
        <v>United Precious Metal Refining, Inc.</v>
      </c>
      <c r="D146" s="283"/>
      <c r="E146" s="217" t="str">
        <f ca="1">IF(ISERROR($V146),"",OFFSET('Smelter Look-up'!$D$4,$V146-4,0)&amp;"")</f>
        <v>UNITED STATES OF AMERICA</v>
      </c>
      <c r="F146" s="217" t="str">
        <f ca="1">IF(ISERROR($V146),"",OFFSET('Smelter Look-up'!$E$4,$V146-4,0))</f>
        <v>CID001993</v>
      </c>
      <c r="G146" s="217" t="str">
        <f ca="1">IF(C146=$X$4,"Enter smelter details",IF(ISERROR($V146),"",OFFSET('Smelter Look-up'!$F$4,$V146-4,0)))</f>
        <v>RMI</v>
      </c>
      <c r="H146" s="218">
        <f ca="1">IF(ISERROR($V146),"",OFFSET('Smelter Look-up'!$G$4,$V146-4,0))</f>
        <v>0</v>
      </c>
      <c r="I146" s="219" t="str">
        <f ca="1">IF(ISERROR($V146),"",OFFSET('Smelter Look-up'!$H$4,$V146-4,0))</f>
        <v>Alden</v>
      </c>
      <c r="J146" s="219" t="str">
        <f ca="1">IF(ISERROR($V146),"",OFFSET('Smelter Look-up'!$I$4,$V146-4,0))</f>
        <v>New York</v>
      </c>
      <c r="K146" s="273"/>
      <c r="L146" s="273"/>
      <c r="M146" s="273"/>
      <c r="N146" s="273"/>
      <c r="O146" s="273"/>
      <c r="P146" s="220"/>
      <c r="Q146" s="274"/>
      <c r="R146" s="217" t="str">
        <f ca="1">IF(ISERROR($V146),"",OFFSET('Smelter Look-up'!$C$4,$V146-4,0)&amp;"")</f>
        <v>United Precious Metal Refining, Inc.</v>
      </c>
      <c r="S146" s="225" t="str">
        <f t="shared" ca="1" si="21"/>
        <v>US</v>
      </c>
      <c r="T146" s="225" t="str">
        <f ca="1">IF(B146="","",IF(ISERROR(MATCH($J146,SorP!$B$1:$B$6230,0)),"",INDIRECT("'SorP'!$A$"&amp;MATCH($J146,SorP!$B$1:$B$6230,0))))</f>
        <v>US-NY</v>
      </c>
      <c r="U146" s="241"/>
      <c r="V146" s="275">
        <f ca="1">IF(C146="",NA(),MATCH($B146&amp;$C146,'Smelter Look-up'!$J:$J,0))</f>
        <v>268</v>
      </c>
      <c r="W146" s="276"/>
      <c r="X146" s="276">
        <f t="shared" ca="1" si="22"/>
        <v>0</v>
      </c>
      <c r="Y146" s="276"/>
      <c r="Z146" s="276"/>
      <c r="AB146" s="278" t="str">
        <f t="shared" ca="1" si="23"/>
        <v>GoldUnited Precious Metal Refining, Inc.</v>
      </c>
    </row>
    <row r="147" spans="1:28" s="277" customFormat="1" ht="20.25">
      <c r="A147" s="450" t="s">
        <v>757</v>
      </c>
      <c r="B147" s="217" t="str">
        <f ca="1">IF(LEN(A147)=0,"",INDEX('Smelter Look-up'!$A:$A,MATCH($A147,'Smelter Look-up'!$E:$E,0)))</f>
        <v>Gold</v>
      </c>
      <c r="C147" s="221" t="str">
        <f ca="1">IF(LEN(A147)=0,"",INDEX('Smelter Look-up'!$C:$C,MATCH($A147,'Smelter Look-up'!$E:$E,0)))</f>
        <v>Valcambi S.A.</v>
      </c>
      <c r="D147" s="283"/>
      <c r="E147" s="217" t="str">
        <f ca="1">IF(ISERROR($V147),"",OFFSET('Smelter Look-up'!$D$4,$V147-4,0)&amp;"")</f>
        <v>SWITZERLAND</v>
      </c>
      <c r="F147" s="217" t="str">
        <f ca="1">IF(ISERROR($V147),"",OFFSET('Smelter Look-up'!$E$4,$V147-4,0))</f>
        <v>CID002003</v>
      </c>
      <c r="G147" s="217" t="str">
        <f ca="1">IF(C147=$X$4,"Enter smelter details",IF(ISERROR($V147),"",OFFSET('Smelter Look-up'!$F$4,$V147-4,0)))</f>
        <v>RMI</v>
      </c>
      <c r="H147" s="218">
        <f ca="1">IF(ISERROR($V147),"",OFFSET('Smelter Look-up'!$G$4,$V147-4,0))</f>
        <v>0</v>
      </c>
      <c r="I147" s="219" t="str">
        <f ca="1">IF(ISERROR($V147),"",OFFSET('Smelter Look-up'!$H$4,$V147-4,0))</f>
        <v>Balerna</v>
      </c>
      <c r="J147" s="219" t="str">
        <f ca="1">IF(ISERROR($V147),"",OFFSET('Smelter Look-up'!$I$4,$V147-4,0))</f>
        <v>Ticino</v>
      </c>
      <c r="K147" s="273"/>
      <c r="L147" s="273"/>
      <c r="M147" s="273"/>
      <c r="N147" s="273"/>
      <c r="O147" s="273"/>
      <c r="P147" s="220"/>
      <c r="Q147" s="274"/>
      <c r="R147" s="217" t="str">
        <f ca="1">IF(ISERROR($V147),"",OFFSET('Smelter Look-up'!$C$4,$V147-4,0)&amp;"")</f>
        <v>Valcambi S.A.</v>
      </c>
      <c r="S147" s="225" t="str">
        <f t="shared" ca="1" si="21"/>
        <v>CH</v>
      </c>
      <c r="T147" s="225" t="str">
        <f ca="1">IF(B147="","",IF(ISERROR(MATCH($J147,SorP!$B$1:$B$6230,0)),"",INDIRECT("'SorP'!$A$"&amp;MATCH($J147,SorP!$B$1:$B$6230,0))))</f>
        <v>CH-TI</v>
      </c>
      <c r="U147" s="241"/>
      <c r="V147" s="275">
        <f ca="1">IF(C147="",NA(),MATCH($B147&amp;$C147,'Smelter Look-up'!$J:$J,0))</f>
        <v>269</v>
      </c>
      <c r="W147" s="276"/>
      <c r="X147" s="276">
        <f t="shared" ca="1" si="22"/>
        <v>0</v>
      </c>
      <c r="Y147" s="276"/>
      <c r="Z147" s="276"/>
      <c r="AB147" s="278" t="str">
        <f t="shared" ca="1" si="23"/>
        <v>GoldValcambi S.A.</v>
      </c>
    </row>
    <row r="148" spans="1:28" s="277" customFormat="1" ht="20.25">
      <c r="A148" s="450" t="s">
        <v>758</v>
      </c>
      <c r="B148" s="217" t="str">
        <f ca="1">IF(LEN(A148)=0,"",INDEX('Smelter Look-up'!$A:$A,MATCH($A148,'Smelter Look-up'!$E:$E,0)))</f>
        <v>Gold</v>
      </c>
      <c r="C148" s="221" t="str">
        <f ca="1">IF(LEN(A148)=0,"",INDEX('Smelter Look-up'!$C:$C,MATCH($A148,'Smelter Look-up'!$E:$E,0)))</f>
        <v>Western Australian Mint (T/a The Perth Mint)</v>
      </c>
      <c r="D148" s="283"/>
      <c r="E148" s="217" t="str">
        <f ca="1">IF(ISERROR($V148),"",OFFSET('Smelter Look-up'!$D$4,$V148-4,0)&amp;"")</f>
        <v>AUSTRALIA</v>
      </c>
      <c r="F148" s="217" t="str">
        <f ca="1">IF(ISERROR($V148),"",OFFSET('Smelter Look-up'!$E$4,$V148-4,0))</f>
        <v>CID002030</v>
      </c>
      <c r="G148" s="217" t="str">
        <f ca="1">IF(C148=$X$4,"Enter smelter details",IF(ISERROR($V148),"",OFFSET('Smelter Look-up'!$F$4,$V148-4,0)))</f>
        <v>RMI</v>
      </c>
      <c r="H148" s="218">
        <f ca="1">IF(ISERROR($V148),"",OFFSET('Smelter Look-up'!$G$4,$V148-4,0))</f>
        <v>0</v>
      </c>
      <c r="I148" s="219" t="str">
        <f ca="1">IF(ISERROR($V148),"",OFFSET('Smelter Look-up'!$H$4,$V148-4,0))</f>
        <v>Newburn</v>
      </c>
      <c r="J148" s="219" t="str">
        <f ca="1">IF(ISERROR($V148),"",OFFSET('Smelter Look-up'!$I$4,$V148-4,0))</f>
        <v>Western Australia</v>
      </c>
      <c r="K148" s="273"/>
      <c r="L148" s="273"/>
      <c r="M148" s="273"/>
      <c r="N148" s="273"/>
      <c r="O148" s="273"/>
      <c r="P148" s="220"/>
      <c r="Q148" s="274"/>
      <c r="R148" s="217" t="str">
        <f ca="1">IF(ISERROR($V148),"",OFFSET('Smelter Look-up'!$C$4,$V148-4,0)&amp;"")</f>
        <v>Western Australian Mint (T/a The Perth Mint)</v>
      </c>
      <c r="S148" s="225" t="str">
        <f t="shared" ca="1" si="21"/>
        <v>AU</v>
      </c>
      <c r="T148" s="225" t="str">
        <f ca="1">IF(B148="","",IF(ISERROR(MATCH($J148,SorP!$B$1:$B$6230,0)),"",INDIRECT("'SorP'!$A$"&amp;MATCH($J148,SorP!$B$1:$B$6230,0))))</f>
        <v>AU-WA</v>
      </c>
      <c r="U148" s="241"/>
      <c r="V148" s="275">
        <f ca="1">IF(C148="",NA(),MATCH($B148&amp;$C148,'Smelter Look-up'!$J:$J,0))</f>
        <v>270</v>
      </c>
      <c r="W148" s="276"/>
      <c r="X148" s="276">
        <f t="shared" ca="1" si="22"/>
        <v>0</v>
      </c>
      <c r="Y148" s="276"/>
      <c r="Z148" s="276"/>
      <c r="AB148" s="278" t="str">
        <f t="shared" ca="1" si="23"/>
        <v>GoldWestern Australian Mint (T/a The Perth Mint)</v>
      </c>
    </row>
    <row r="149" spans="1:28" s="277" customFormat="1" ht="20.25">
      <c r="A149" s="450" t="s">
        <v>2315</v>
      </c>
      <c r="B149" s="217" t="str">
        <f ca="1">IF(LEN(A149)=0,"",INDEX('Smelter Look-up'!$A:$A,MATCH($A149,'Smelter Look-up'!$E:$E,0)))</f>
        <v>Gold</v>
      </c>
      <c r="C149" s="221" t="str">
        <f ca="1">IF(LEN(A149)=0,"",INDEX('Smelter Look-up'!$C:$C,MATCH($A149,'Smelter Look-up'!$E:$E,0)))</f>
        <v>WIELAND Edelmetalle GmbH</v>
      </c>
      <c r="D149" s="283"/>
      <c r="E149" s="217" t="str">
        <f ca="1">IF(ISERROR($V149),"",OFFSET('Smelter Look-up'!$D$4,$V149-4,0)&amp;"")</f>
        <v>GERMANY</v>
      </c>
      <c r="F149" s="217" t="str">
        <f ca="1">IF(ISERROR($V149),"",OFFSET('Smelter Look-up'!$E$4,$V149-4,0))</f>
        <v>CID002778</v>
      </c>
      <c r="G149" s="217" t="str">
        <f ca="1">IF(C149=$X$4,"Enter smelter details",IF(ISERROR($V149),"",OFFSET('Smelter Look-up'!$F$4,$V149-4,0)))</f>
        <v>RMI</v>
      </c>
      <c r="H149" s="218">
        <f ca="1">IF(ISERROR($V149),"",OFFSET('Smelter Look-up'!$G$4,$V149-4,0))</f>
        <v>0</v>
      </c>
      <c r="I149" s="219" t="str">
        <f ca="1">IF(ISERROR($V149),"",OFFSET('Smelter Look-up'!$H$4,$V149-4,0))</f>
        <v>Pforzheim</v>
      </c>
      <c r="J149" s="219" t="str">
        <f ca="1">IF(ISERROR($V149),"",OFFSET('Smelter Look-up'!$I$4,$V149-4,0))</f>
        <v>Baden-Württemberg</v>
      </c>
      <c r="K149" s="273"/>
      <c r="L149" s="273"/>
      <c r="M149" s="273"/>
      <c r="N149" s="273"/>
      <c r="O149" s="273"/>
      <c r="P149" s="220"/>
      <c r="Q149" s="274"/>
      <c r="R149" s="217" t="str">
        <f ca="1">IF(ISERROR($V149),"",OFFSET('Smelter Look-up'!$C$4,$V149-4,0)&amp;"")</f>
        <v>WIELAND Edelmetalle GmbH</v>
      </c>
      <c r="S149" s="225" t="str">
        <f t="shared" ca="1" si="21"/>
        <v>DE</v>
      </c>
      <c r="T149" s="225" t="str">
        <f ca="1">IF(B149="","",IF(ISERROR(MATCH($J149,SorP!$B$1:$B$6230,0)),"",INDIRECT("'SorP'!$A$"&amp;MATCH($J149,SorP!$B$1:$B$6230,0))))</f>
        <v>DE-BW</v>
      </c>
      <c r="U149" s="241"/>
      <c r="V149" s="275">
        <f ca="1">IF(C149="",NA(),MATCH($B149&amp;$C149,'Smelter Look-up'!$J:$J,0))</f>
        <v>271</v>
      </c>
      <c r="W149" s="276"/>
      <c r="X149" s="276">
        <f t="shared" ca="1" si="22"/>
        <v>0</v>
      </c>
      <c r="Y149" s="276"/>
      <c r="Z149" s="276"/>
      <c r="AB149" s="278" t="str">
        <f t="shared" ca="1" si="23"/>
        <v>GoldWIELAND Edelmetalle GmbH</v>
      </c>
    </row>
    <row r="150" spans="1:28" s="277" customFormat="1" ht="20.25">
      <c r="A150" s="450" t="s">
        <v>759</v>
      </c>
      <c r="B150" s="217" t="str">
        <f ca="1">IF(LEN(A150)=0,"",INDEX('Smelter Look-up'!$A:$A,MATCH($A150,'Smelter Look-up'!$E:$E,0)))</f>
        <v>Gold</v>
      </c>
      <c r="C150" s="221" t="str">
        <f ca="1">IF(LEN(A150)=0,"",INDEX('Smelter Look-up'!$C:$C,MATCH($A150,'Smelter Look-up'!$E:$E,0)))</f>
        <v>Yamakin Co., Ltd.</v>
      </c>
      <c r="D150" s="283"/>
      <c r="E150" s="217" t="str">
        <f ca="1">IF(ISERROR($V150),"",OFFSET('Smelter Look-up'!$D$4,$V150-4,0)&amp;"")</f>
        <v>JAPAN</v>
      </c>
      <c r="F150" s="217" t="str">
        <f ca="1">IF(ISERROR($V150),"",OFFSET('Smelter Look-up'!$E$4,$V150-4,0))</f>
        <v>CID002100</v>
      </c>
      <c r="G150" s="217" t="str">
        <f ca="1">IF(C150=$X$4,"Enter smelter details",IF(ISERROR($V150),"",OFFSET('Smelter Look-up'!$F$4,$V150-4,0)))</f>
        <v>RMI</v>
      </c>
      <c r="H150" s="218">
        <f ca="1">IF(ISERROR($V150),"",OFFSET('Smelter Look-up'!$G$4,$V150-4,0))</f>
        <v>0</v>
      </c>
      <c r="I150" s="219" t="str">
        <f ca="1">IF(ISERROR($V150),"",OFFSET('Smelter Look-up'!$H$4,$V150-4,0))</f>
        <v>Konan</v>
      </c>
      <c r="J150" s="219" t="str">
        <f ca="1">IF(ISERROR($V150),"",OFFSET('Smelter Look-up'!$I$4,$V150-4,0))</f>
        <v>Kochi</v>
      </c>
      <c r="K150" s="273"/>
      <c r="L150" s="273"/>
      <c r="M150" s="273"/>
      <c r="N150" s="273"/>
      <c r="O150" s="273"/>
      <c r="P150" s="220"/>
      <c r="Q150" s="274"/>
      <c r="R150" s="217" t="str">
        <f ca="1">IF(ISERROR($V150),"",OFFSET('Smelter Look-up'!$C$4,$V150-4,0)&amp;"")</f>
        <v>Yamakin Co., Ltd.</v>
      </c>
      <c r="S150" s="225" t="str">
        <f t="shared" ca="1" si="21"/>
        <v>JP</v>
      </c>
      <c r="T150" s="225" t="str">
        <f ca="1">IF(B150="","",IF(ISERROR(MATCH($J150,SorP!$B$1:$B$6230,0)),"",INDIRECT("'SorP'!$A$"&amp;MATCH($J150,SorP!$B$1:$B$6230,0))))</f>
        <v>JP-39</v>
      </c>
      <c r="U150" s="241"/>
      <c r="V150" s="275">
        <f ca="1">IF(C150="",NA(),MATCH($B150&amp;$C150,'Smelter Look-up'!$J:$J,0))</f>
        <v>275</v>
      </c>
      <c r="W150" s="276"/>
      <c r="X150" s="276">
        <f t="shared" ca="1" si="22"/>
        <v>0</v>
      </c>
      <c r="Y150" s="276"/>
      <c r="Z150" s="276"/>
      <c r="AB150" s="278" t="str">
        <f t="shared" ca="1" si="23"/>
        <v>GoldYamakin Co., Ltd.</v>
      </c>
    </row>
    <row r="151" spans="1:28" s="277" customFormat="1" ht="20.25">
      <c r="A151" s="450" t="s">
        <v>760</v>
      </c>
      <c r="B151" s="217" t="str">
        <f ca="1">IF(LEN(A151)=0,"",INDEX('Smelter Look-up'!$A:$A,MATCH($A151,'Smelter Look-up'!$E:$E,0)))</f>
        <v>Gold</v>
      </c>
      <c r="C151" s="221" t="str">
        <f ca="1">IF(LEN(A151)=0,"",INDEX('Smelter Look-up'!$C:$C,MATCH($A151,'Smelter Look-up'!$E:$E,0)))</f>
        <v>Yokohama Metal Co., Ltd.</v>
      </c>
      <c r="D151" s="283"/>
      <c r="E151" s="217" t="str">
        <f ca="1">IF(ISERROR($V151),"",OFFSET('Smelter Look-up'!$D$4,$V151-4,0)&amp;"")</f>
        <v>JAPAN</v>
      </c>
      <c r="F151" s="217" t="str">
        <f ca="1">IF(ISERROR($V151),"",OFFSET('Smelter Look-up'!$E$4,$V151-4,0))</f>
        <v>CID002129</v>
      </c>
      <c r="G151" s="217" t="str">
        <f ca="1">IF(C151=$X$4,"Enter smelter details",IF(ISERROR($V151),"",OFFSET('Smelter Look-up'!$F$4,$V151-4,0)))</f>
        <v>RMI</v>
      </c>
      <c r="H151" s="218">
        <f ca="1">IF(ISERROR($V151),"",OFFSET('Smelter Look-up'!$G$4,$V151-4,0))</f>
        <v>0</v>
      </c>
      <c r="I151" s="219" t="str">
        <f ca="1">IF(ISERROR($V151),"",OFFSET('Smelter Look-up'!$H$4,$V151-4,0))</f>
        <v>Sagamihara</v>
      </c>
      <c r="J151" s="219" t="str">
        <f ca="1">IF(ISERROR($V151),"",OFFSET('Smelter Look-up'!$I$4,$V151-4,0))</f>
        <v>Kanagawa</v>
      </c>
      <c r="K151" s="273"/>
      <c r="L151" s="273"/>
      <c r="M151" s="273"/>
      <c r="N151" s="273"/>
      <c r="O151" s="273"/>
      <c r="P151" s="220"/>
      <c r="Q151" s="274"/>
      <c r="R151" s="217" t="str">
        <f ca="1">IF(ISERROR($V151),"",OFFSET('Smelter Look-up'!$C$4,$V151-4,0)&amp;"")</f>
        <v>Yokohama Metal Co., Ltd.</v>
      </c>
      <c r="S151" s="225" t="str">
        <f t="shared" ca="1" si="21"/>
        <v>JP</v>
      </c>
      <c r="T151" s="225" t="str">
        <f ca="1">IF(B151="","",IF(ISERROR(MATCH($J151,SorP!$B$1:$B$6230,0)),"",INDIRECT("'SorP'!$A$"&amp;MATCH($J151,SorP!$B$1:$B$6230,0))))</f>
        <v>JP-14</v>
      </c>
      <c r="U151" s="241"/>
      <c r="V151" s="275">
        <f ca="1">IF(C151="",NA(),MATCH($B151&amp;$C151,'Smelter Look-up'!$J:$J,0))</f>
        <v>280</v>
      </c>
      <c r="W151" s="276"/>
      <c r="X151" s="276">
        <f t="shared" ca="1" si="22"/>
        <v>0</v>
      </c>
      <c r="Y151" s="276"/>
      <c r="Z151" s="276"/>
      <c r="AB151" s="278" t="str">
        <f t="shared" ca="1" si="23"/>
        <v>GoldYokohama Metal Co., Ltd.</v>
      </c>
    </row>
    <row r="152" spans="1:28" s="277" customFormat="1" ht="20.25">
      <c r="A152" s="450" t="s">
        <v>762</v>
      </c>
      <c r="B152" s="217" t="str">
        <f ca="1">IF(LEN(A152)=0,"",INDEX('Smelter Look-up'!$A:$A,MATCH($A152,'Smelter Look-up'!$E:$E,0)))</f>
        <v>Gold</v>
      </c>
      <c r="C152" s="221" t="str">
        <f ca="1">IF(LEN(A152)=0,"",INDEX('Smelter Look-up'!$C:$C,MATCH($A152,'Smelter Look-up'!$E:$E,0)))</f>
        <v>Zhongyuan Gold Smelter of Zhongjin Gold Corporation</v>
      </c>
      <c r="D152" s="283"/>
      <c r="E152" s="217" t="str">
        <f ca="1">IF(ISERROR($V152),"",OFFSET('Smelter Look-up'!$D$4,$V152-4,0)&amp;"")</f>
        <v>CHINA</v>
      </c>
      <c r="F152" s="217" t="str">
        <f ca="1">IF(ISERROR($V152),"",OFFSET('Smelter Look-up'!$E$4,$V152-4,0))</f>
        <v>CID002224</v>
      </c>
      <c r="G152" s="217" t="str">
        <f ca="1">IF(C152=$X$4,"Enter smelter details",IF(ISERROR($V152),"",OFFSET('Smelter Look-up'!$F$4,$V152-4,0)))</f>
        <v>RMI</v>
      </c>
      <c r="H152" s="218">
        <f ca="1">IF(ISERROR($V152),"",OFFSET('Smelter Look-up'!$G$4,$V152-4,0))</f>
        <v>0</v>
      </c>
      <c r="I152" s="219" t="str">
        <f ca="1">IF(ISERROR($V152),"",OFFSET('Smelter Look-up'!$H$4,$V152-4,0))</f>
        <v>Sanmenxia</v>
      </c>
      <c r="J152" s="219" t="str">
        <f ca="1">IF(ISERROR($V152),"",OFFSET('Smelter Look-up'!$I$4,$V152-4,0))</f>
        <v>Henan Sheng</v>
      </c>
      <c r="K152" s="273"/>
      <c r="L152" s="273"/>
      <c r="M152" s="273"/>
      <c r="N152" s="273"/>
      <c r="O152" s="273"/>
      <c r="P152" s="220"/>
      <c r="Q152" s="274"/>
      <c r="R152" s="217" t="str">
        <f ca="1">IF(ISERROR($V152),"",OFFSET('Smelter Look-up'!$C$4,$V152-4,0)&amp;"")</f>
        <v>Zhongyuan Gold Smelter of Zhongjin Gold Corporation</v>
      </c>
      <c r="S152" s="225" t="str">
        <f t="shared" ca="1" si="21"/>
        <v>CN</v>
      </c>
      <c r="T152" s="225" t="str">
        <f ca="1">IF(B152="","",IF(ISERROR(MATCH($J152,SorP!$B$1:$B$6230,0)),"",INDIRECT("'SorP'!$A$"&amp;MATCH($J152,SorP!$B$1:$B$6230,0))))</f>
        <v>CN-HA</v>
      </c>
      <c r="U152" s="241"/>
      <c r="V152" s="275">
        <f ca="1">IF(C152="",NA(),MATCH($B152&amp;$C152,'Smelter Look-up'!$J:$J,0))</f>
        <v>290</v>
      </c>
      <c r="W152" s="276"/>
      <c r="X152" s="276">
        <f t="shared" ca="1" si="22"/>
        <v>0</v>
      </c>
      <c r="Y152" s="276"/>
      <c r="Z152" s="276"/>
      <c r="AB152" s="278" t="str">
        <f t="shared" ca="1" si="23"/>
        <v>GoldZhongyuan Gold Smelter of Zhongjin Gold Corporation</v>
      </c>
    </row>
    <row r="153" spans="1:28" s="277" customFormat="1" ht="20.25">
      <c r="A153" s="450" t="s">
        <v>2672</v>
      </c>
      <c r="B153" s="217" t="str">
        <f ca="1">IF(LEN(A153)=0,"",INDEX('Smelter Look-up'!$A:$A,MATCH($A153,'Smelter Look-up'!$E:$E,0)))</f>
        <v>Tantalum</v>
      </c>
      <c r="C153" s="221" t="str">
        <f ca="1">IF(LEN(A153)=0,"",INDEX('Smelter Look-up'!$C:$C,MATCH($A153,'Smelter Look-up'!$E:$E,0)))</f>
        <v>Asaka Riken Co., Ltd.</v>
      </c>
      <c r="D153" s="283"/>
      <c r="E153" s="217" t="str">
        <f ca="1">IF(ISERROR($V153),"",OFFSET('Smelter Look-up'!$D$4,$V153-4,0)&amp;"")</f>
        <v>JAPAN</v>
      </c>
      <c r="F153" s="217" t="str">
        <f ca="1">IF(ISERROR($V153),"",OFFSET('Smelter Look-up'!$E$4,$V153-4,0))</f>
        <v>CID000092</v>
      </c>
      <c r="G153" s="217" t="str">
        <f ca="1">IF(C153=$X$4,"Enter smelter details",IF(ISERROR($V153),"",OFFSET('Smelter Look-up'!$F$4,$V153-4,0)))</f>
        <v>RMI</v>
      </c>
      <c r="H153" s="218">
        <f ca="1">IF(ISERROR($V153),"",OFFSET('Smelter Look-up'!$G$4,$V153-4,0))</f>
        <v>0</v>
      </c>
      <c r="I153" s="219" t="str">
        <f ca="1">IF(ISERROR($V153),"",OFFSET('Smelter Look-up'!$H$4,$V153-4,0))</f>
        <v>Tamura</v>
      </c>
      <c r="J153" s="219" t="str">
        <f ca="1">IF(ISERROR($V153),"",OFFSET('Smelter Look-up'!$I$4,$V153-4,0))</f>
        <v>Fukushima</v>
      </c>
      <c r="K153" s="273"/>
      <c r="L153" s="273"/>
      <c r="M153" s="273"/>
      <c r="N153" s="273"/>
      <c r="O153" s="273"/>
      <c r="P153" s="220"/>
      <c r="Q153" s="274"/>
      <c r="R153" s="217" t="str">
        <f ca="1">IF(ISERROR($V153),"",OFFSET('Smelter Look-up'!$C$4,$V153-4,0)&amp;"")</f>
        <v>Asaka Riken Co., Ltd.</v>
      </c>
      <c r="S153" s="225" t="str">
        <f t="shared" ca="1" si="21"/>
        <v>JP</v>
      </c>
      <c r="T153" s="225" t="str">
        <f ca="1">IF(B153="","",IF(ISERROR(MATCH($J153,SorP!$B$1:$B$6230,0)),"",INDIRECT("'SorP'!$A$"&amp;MATCH($J153,SorP!$B$1:$B$6230,0))))</f>
        <v>JP-07</v>
      </c>
      <c r="U153" s="241"/>
      <c r="V153" s="275">
        <f ca="1">IF(C153="",NA(),MATCH($B153&amp;$C153,'Smelter Look-up'!$J:$J,0))</f>
        <v>295</v>
      </c>
      <c r="W153" s="276"/>
      <c r="X153" s="276">
        <f t="shared" ca="1" si="22"/>
        <v>0</v>
      </c>
      <c r="Y153" s="276"/>
      <c r="Z153" s="276"/>
      <c r="AB153" s="278" t="str">
        <f t="shared" ca="1" si="23"/>
        <v>TantalumAsaka Riken Co., Ltd.</v>
      </c>
    </row>
    <row r="154" spans="1:28" s="277" customFormat="1" ht="20.25">
      <c r="A154" s="450" t="s">
        <v>764</v>
      </c>
      <c r="B154" s="217" t="str">
        <f ca="1">IF(LEN(A154)=0,"",INDEX('Smelter Look-up'!$A:$A,MATCH($A154,'Smelter Look-up'!$E:$E,0)))</f>
        <v>Tantalum</v>
      </c>
      <c r="C154" s="221" t="str">
        <f ca="1">IF(LEN(A154)=0,"",INDEX('Smelter Look-up'!$C:$C,MATCH($A154,'Smelter Look-up'!$E:$E,0)))</f>
        <v>Changsha South Tantalum Niobium Co., Ltd.</v>
      </c>
      <c r="D154" s="283"/>
      <c r="E154" s="217" t="str">
        <f ca="1">IF(ISERROR($V154),"",OFFSET('Smelter Look-up'!$D$4,$V154-4,0)&amp;"")</f>
        <v>CHINA</v>
      </c>
      <c r="F154" s="217" t="str">
        <f ca="1">IF(ISERROR($V154),"",OFFSET('Smelter Look-up'!$E$4,$V154-4,0))</f>
        <v>CID000211</v>
      </c>
      <c r="G154" s="217" t="str">
        <f ca="1">IF(C154=$X$4,"Enter smelter details",IF(ISERROR($V154),"",OFFSET('Smelter Look-up'!$F$4,$V154-4,0)))</f>
        <v>RMI</v>
      </c>
      <c r="H154" s="218">
        <f ca="1">IF(ISERROR($V154),"",OFFSET('Smelter Look-up'!$G$4,$V154-4,0))</f>
        <v>0</v>
      </c>
      <c r="I154" s="219" t="str">
        <f ca="1">IF(ISERROR($V154),"",OFFSET('Smelter Look-up'!$H$4,$V154-4,0))</f>
        <v>Changsha</v>
      </c>
      <c r="J154" s="219" t="str">
        <f ca="1">IF(ISERROR($V154),"",OFFSET('Smelter Look-up'!$I$4,$V154-4,0))</f>
        <v>Hunan Sheng</v>
      </c>
      <c r="K154" s="273"/>
      <c r="L154" s="273"/>
      <c r="M154" s="273"/>
      <c r="N154" s="273"/>
      <c r="O154" s="273"/>
      <c r="P154" s="220"/>
      <c r="Q154" s="274"/>
      <c r="R154" s="217" t="str">
        <f ca="1">IF(ISERROR($V154),"",OFFSET('Smelter Look-up'!$C$4,$V154-4,0)&amp;"")</f>
        <v>Changsha South Tantalum Niobium Co., Ltd.</v>
      </c>
      <c r="S154" s="225" t="str">
        <f t="shared" ca="1" si="21"/>
        <v>CN</v>
      </c>
      <c r="T154" s="225" t="str">
        <f ca="1">IF(B154="","",IF(ISERROR(MATCH($J154,SorP!$B$1:$B$6230,0)),"",INDIRECT("'SorP'!$A$"&amp;MATCH($J154,SorP!$B$1:$B$6230,0))))</f>
        <v>CN-HN</v>
      </c>
      <c r="U154" s="241"/>
      <c r="V154" s="275">
        <f ca="1">IF(C154="",NA(),MATCH($B154&amp;$C154,'Smelter Look-up'!$J:$J,0))</f>
        <v>296</v>
      </c>
      <c r="W154" s="276"/>
      <c r="X154" s="276">
        <f t="shared" ca="1" si="22"/>
        <v>0</v>
      </c>
      <c r="Y154" s="276"/>
      <c r="Z154" s="276"/>
      <c r="AB154" s="278" t="str">
        <f t="shared" ca="1" si="23"/>
        <v>TantalumChangsha South Tantalum Niobium Co., Ltd.</v>
      </c>
    </row>
    <row r="155" spans="1:28" s="277" customFormat="1" ht="20.25">
      <c r="A155" s="450" t="s">
        <v>1419</v>
      </c>
      <c r="B155" s="217" t="str">
        <f ca="1">IF(LEN(A155)=0,"",INDEX('Smelter Look-up'!$A:$A,MATCH($A155,'Smelter Look-up'!$E:$E,0)))</f>
        <v>Tantalum</v>
      </c>
      <c r="C155" s="221" t="str">
        <f ca="1">IF(LEN(A155)=0,"",INDEX('Smelter Look-up'!$C:$C,MATCH($A155,'Smelter Look-up'!$E:$E,0)))</f>
        <v>D Block Metals, LLC</v>
      </c>
      <c r="D155" s="283"/>
      <c r="E155" s="217" t="str">
        <f ca="1">IF(ISERROR($V155),"",OFFSET('Smelter Look-up'!$D$4,$V155-4,0)&amp;"")</f>
        <v>UNITED STATES OF AMERICA</v>
      </c>
      <c r="F155" s="217" t="str">
        <f ca="1">IF(ISERROR($V155),"",OFFSET('Smelter Look-up'!$E$4,$V155-4,0))</f>
        <v>CID002504</v>
      </c>
      <c r="G155" s="217" t="str">
        <f ca="1">IF(C155=$X$4,"Enter smelter details",IF(ISERROR($V155),"",OFFSET('Smelter Look-up'!$F$4,$V155-4,0)))</f>
        <v>RMI</v>
      </c>
      <c r="H155" s="218">
        <f ca="1">IF(ISERROR($V155),"",OFFSET('Smelter Look-up'!$G$4,$V155-4,0))</f>
        <v>0</v>
      </c>
      <c r="I155" s="219" t="str">
        <f ca="1">IF(ISERROR($V155),"",OFFSET('Smelter Look-up'!$H$4,$V155-4,0))</f>
        <v>Gastonia</v>
      </c>
      <c r="J155" s="219" t="str">
        <f ca="1">IF(ISERROR($V155),"",OFFSET('Smelter Look-up'!$I$4,$V155-4,0))</f>
        <v>North Carolina</v>
      </c>
      <c r="K155" s="273"/>
      <c r="L155" s="273"/>
      <c r="M155" s="273"/>
      <c r="N155" s="273"/>
      <c r="O155" s="273"/>
      <c r="P155" s="220"/>
      <c r="Q155" s="274"/>
      <c r="R155" s="217" t="str">
        <f ca="1">IF(ISERROR($V155),"",OFFSET('Smelter Look-up'!$C$4,$V155-4,0)&amp;"")</f>
        <v>D Block Metals, LLC</v>
      </c>
      <c r="S155" s="225" t="str">
        <f t="shared" ca="1" si="21"/>
        <v>US</v>
      </c>
      <c r="T155" s="225" t="str">
        <f ca="1">IF(B155="","",IF(ISERROR(MATCH($J155,SorP!$B$1:$B$6230,0)),"",INDIRECT("'SorP'!$A$"&amp;MATCH($J155,SorP!$B$1:$B$6230,0))))</f>
        <v>US-NC</v>
      </c>
      <c r="U155" s="241"/>
      <c r="V155" s="275">
        <f ca="1">IF(C155="",NA(),MATCH($B155&amp;$C155,'Smelter Look-up'!$J:$J,0))</f>
        <v>299</v>
      </c>
      <c r="W155" s="276"/>
      <c r="X155" s="276">
        <f t="shared" ca="1" si="22"/>
        <v>0</v>
      </c>
      <c r="Y155" s="276"/>
      <c r="Z155" s="276"/>
      <c r="AB155" s="278" t="str">
        <f t="shared" ca="1" si="23"/>
        <v>TantalumD Block Metals, LLC</v>
      </c>
    </row>
    <row r="156" spans="1:28" s="277" customFormat="1" ht="20.25">
      <c r="A156" s="450" t="s">
        <v>765</v>
      </c>
      <c r="B156" s="217" t="str">
        <f ca="1">IF(LEN(A156)=0,"",INDEX('Smelter Look-up'!$A:$A,MATCH($A156,'Smelter Look-up'!$E:$E,0)))</f>
        <v>Tantalum</v>
      </c>
      <c r="C156" s="221" t="str">
        <f ca="1">IF(LEN(A156)=0,"",INDEX('Smelter Look-up'!$C:$C,MATCH($A156,'Smelter Look-up'!$E:$E,0)))</f>
        <v>Exotech Inc.</v>
      </c>
      <c r="D156" s="283"/>
      <c r="E156" s="217" t="str">
        <f ca="1">IF(ISERROR($V156),"",OFFSET('Smelter Look-up'!$D$4,$V156-4,0)&amp;"")</f>
        <v>UNITED STATES OF AMERICA</v>
      </c>
      <c r="F156" s="217" t="str">
        <f ca="1">IF(ISERROR($V156),"",OFFSET('Smelter Look-up'!$E$4,$V156-4,0))</f>
        <v>CID000456</v>
      </c>
      <c r="G156" s="217" t="str">
        <f ca="1">IF(C156=$X$4,"Enter smelter details",IF(ISERROR($V156),"",OFFSET('Smelter Look-up'!$F$4,$V156-4,0)))</f>
        <v>RMI</v>
      </c>
      <c r="H156" s="218">
        <f ca="1">IF(ISERROR($V156),"",OFFSET('Smelter Look-up'!$G$4,$V156-4,0))</f>
        <v>0</v>
      </c>
      <c r="I156" s="219" t="str">
        <f ca="1">IF(ISERROR($V156),"",OFFSET('Smelter Look-up'!$H$4,$V156-4,0))</f>
        <v>Pompano Beach</v>
      </c>
      <c r="J156" s="219" t="str">
        <f ca="1">IF(ISERROR($V156),"",OFFSET('Smelter Look-up'!$I$4,$V156-4,0))</f>
        <v>Florida</v>
      </c>
      <c r="K156" s="273"/>
      <c r="L156" s="273"/>
      <c r="M156" s="273"/>
      <c r="N156" s="273"/>
      <c r="O156" s="273"/>
      <c r="P156" s="220"/>
      <c r="Q156" s="274"/>
      <c r="R156" s="217" t="str">
        <f ca="1">IF(ISERROR($V156),"",OFFSET('Smelter Look-up'!$C$4,$V156-4,0)&amp;"")</f>
        <v>Exotech Inc.</v>
      </c>
      <c r="S156" s="225" t="str">
        <f t="shared" ca="1" si="21"/>
        <v>US</v>
      </c>
      <c r="T156" s="225" t="str">
        <f ca="1">IF(B156="","",IF(ISERROR(MATCH($J156,SorP!$B$1:$B$6230,0)),"",INDIRECT("'SorP'!$A$"&amp;MATCH($J156,SorP!$B$1:$B$6230,0))))</f>
        <v>US-FL</v>
      </c>
      <c r="U156" s="241"/>
      <c r="V156" s="275">
        <f ca="1">IF(C156="",NA(),MATCH($B156&amp;$C156,'Smelter Look-up'!$J:$J,0))</f>
        <v>300</v>
      </c>
      <c r="W156" s="276"/>
      <c r="X156" s="276">
        <f t="shared" ca="1" si="22"/>
        <v>0</v>
      </c>
      <c r="Y156" s="276"/>
      <c r="Z156" s="276"/>
      <c r="AB156" s="278" t="str">
        <f t="shared" ca="1" si="23"/>
        <v>TantalumExotech Inc.</v>
      </c>
    </row>
    <row r="157" spans="1:28" s="277" customFormat="1" ht="20.25">
      <c r="A157" s="450" t="s">
        <v>766</v>
      </c>
      <c r="B157" s="217" t="str">
        <f ca="1">IF(LEN(A157)=0,"",INDEX('Smelter Look-up'!$A:$A,MATCH($A157,'Smelter Look-up'!$E:$E,0)))</f>
        <v>Tantalum</v>
      </c>
      <c r="C157" s="221" t="str">
        <f ca="1">IF(LEN(A157)=0,"",INDEX('Smelter Look-up'!$C:$C,MATCH($A157,'Smelter Look-up'!$E:$E,0)))</f>
        <v>F&amp;X Electro-Materials Ltd.</v>
      </c>
      <c r="D157" s="283"/>
      <c r="E157" s="217" t="str">
        <f ca="1">IF(ISERROR($V157),"",OFFSET('Smelter Look-up'!$D$4,$V157-4,0)&amp;"")</f>
        <v>CHINA</v>
      </c>
      <c r="F157" s="217" t="str">
        <f ca="1">IF(ISERROR($V157),"",OFFSET('Smelter Look-up'!$E$4,$V157-4,0))</f>
        <v>CID000460</v>
      </c>
      <c r="G157" s="217" t="str">
        <f ca="1">IF(C157=$X$4,"Enter smelter details",IF(ISERROR($V157),"",OFFSET('Smelter Look-up'!$F$4,$V157-4,0)))</f>
        <v>RMI</v>
      </c>
      <c r="H157" s="218">
        <f ca="1">IF(ISERROR($V157),"",OFFSET('Smelter Look-up'!$G$4,$V157-4,0))</f>
        <v>0</v>
      </c>
      <c r="I157" s="219" t="str">
        <f ca="1">IF(ISERROR($V157),"",OFFSET('Smelter Look-up'!$H$4,$V157-4,0))</f>
        <v>Jiangmen</v>
      </c>
      <c r="J157" s="219" t="str">
        <f ca="1">IF(ISERROR($V157),"",OFFSET('Smelter Look-up'!$I$4,$V157-4,0))</f>
        <v>Guangdong Sheng</v>
      </c>
      <c r="K157" s="273"/>
      <c r="L157" s="273"/>
      <c r="M157" s="273"/>
      <c r="N157" s="273"/>
      <c r="O157" s="273"/>
      <c r="P157" s="220"/>
      <c r="Q157" s="274"/>
      <c r="R157" s="217" t="str">
        <f ca="1">IF(ISERROR($V157),"",OFFSET('Smelter Look-up'!$C$4,$V157-4,0)&amp;"")</f>
        <v>F&amp;X Electro-Materials Ltd.</v>
      </c>
      <c r="S157" s="225" t="str">
        <f t="shared" ca="1" si="21"/>
        <v>CN</v>
      </c>
      <c r="T157" s="225" t="str">
        <f ca="1">IF(B157="","",IF(ISERROR(MATCH($J157,SorP!$B$1:$B$6230,0)),"",INDIRECT("'SorP'!$A$"&amp;MATCH($J157,SorP!$B$1:$B$6230,0))))</f>
        <v>CN-GD</v>
      </c>
      <c r="U157" s="241"/>
      <c r="V157" s="275">
        <f ca="1">IF(C157="",NA(),MATCH($B157&amp;$C157,'Smelter Look-up'!$J:$J,0))</f>
        <v>302</v>
      </c>
      <c r="W157" s="276"/>
      <c r="X157" s="276">
        <f t="shared" ca="1" si="22"/>
        <v>0</v>
      </c>
      <c r="Y157" s="276"/>
      <c r="Z157" s="276"/>
      <c r="AB157" s="278" t="str">
        <f t="shared" ca="1" si="23"/>
        <v>TantalumF&amp;X Electro-Materials Ltd.</v>
      </c>
    </row>
    <row r="158" spans="1:28" s="277" customFormat="1" ht="20.25">
      <c r="A158" s="450" t="s">
        <v>1420</v>
      </c>
      <c r="B158" s="217" t="str">
        <f ca="1">IF(LEN(A158)=0,"",INDEX('Smelter Look-up'!$A:$A,MATCH($A158,'Smelter Look-up'!$E:$E,0)))</f>
        <v>Tantalum</v>
      </c>
      <c r="C158" s="221" t="str">
        <f ca="1">IF(LEN(A158)=0,"",INDEX('Smelter Look-up'!$C:$C,MATCH($A158,'Smelter Look-up'!$E:$E,0)))</f>
        <v>FIR Metals &amp; Resource Ltd.</v>
      </c>
      <c r="D158" s="283"/>
      <c r="E158" s="217" t="str">
        <f ca="1">IF(ISERROR($V158),"",OFFSET('Smelter Look-up'!$D$4,$V158-4,0)&amp;"")</f>
        <v>CHINA</v>
      </c>
      <c r="F158" s="217" t="str">
        <f ca="1">IF(ISERROR($V158),"",OFFSET('Smelter Look-up'!$E$4,$V158-4,0))</f>
        <v>CID002505</v>
      </c>
      <c r="G158" s="217" t="str">
        <f ca="1">IF(C158=$X$4,"Enter smelter details",IF(ISERROR($V158),"",OFFSET('Smelter Look-up'!$F$4,$V158-4,0)))</f>
        <v>RMI</v>
      </c>
      <c r="H158" s="218">
        <f ca="1">IF(ISERROR($V158),"",OFFSET('Smelter Look-up'!$G$4,$V158-4,0))</f>
        <v>0</v>
      </c>
      <c r="I158" s="219" t="str">
        <f ca="1">IF(ISERROR($V158),"",OFFSET('Smelter Look-up'!$H$4,$V158-4,0))</f>
        <v>Zhuzhou</v>
      </c>
      <c r="J158" s="219" t="str">
        <f ca="1">IF(ISERROR($V158),"",OFFSET('Smelter Look-up'!$I$4,$V158-4,0))</f>
        <v>Hunan Sheng</v>
      </c>
      <c r="K158" s="273"/>
      <c r="L158" s="273"/>
      <c r="M158" s="273"/>
      <c r="N158" s="273"/>
      <c r="O158" s="273"/>
      <c r="P158" s="220"/>
      <c r="Q158" s="274"/>
      <c r="R158" s="217" t="str">
        <f ca="1">IF(ISERROR($V158),"",OFFSET('Smelter Look-up'!$C$4,$V158-4,0)&amp;"")</f>
        <v>FIR Metals &amp; Resource Ltd.</v>
      </c>
      <c r="S158" s="225" t="str">
        <f t="shared" ca="1" si="21"/>
        <v>CN</v>
      </c>
      <c r="T158" s="225" t="str">
        <f ca="1">IF(B158="","",IF(ISERROR(MATCH($J158,SorP!$B$1:$B$6230,0)),"",INDIRECT("'SorP'!$A$"&amp;MATCH($J158,SorP!$B$1:$B$6230,0))))</f>
        <v>CN-HN</v>
      </c>
      <c r="U158" s="241"/>
      <c r="V158" s="275">
        <f ca="1">IF(C158="",NA(),MATCH($B158&amp;$C158,'Smelter Look-up'!$J:$J,0))</f>
        <v>303</v>
      </c>
      <c r="W158" s="276"/>
      <c r="X158" s="276">
        <f t="shared" ca="1" si="22"/>
        <v>0</v>
      </c>
      <c r="Y158" s="276"/>
      <c r="Z158" s="276"/>
      <c r="AB158" s="278" t="str">
        <f t="shared" ca="1" si="23"/>
        <v>TantalumFIR Metals &amp; Resource Ltd.</v>
      </c>
    </row>
    <row r="159" spans="1:28" s="277" customFormat="1" ht="20.25">
      <c r="A159" s="450" t="s">
        <v>1435</v>
      </c>
      <c r="B159" s="217" t="str">
        <f ca="1">IF(LEN(A159)=0,"",INDEX('Smelter Look-up'!$A:$A,MATCH($A159,'Smelter Look-up'!$E:$E,0)))</f>
        <v>Tantalum</v>
      </c>
      <c r="C159" s="221" t="str">
        <f ca="1">IF(LEN(A159)=0,"",INDEX('Smelter Look-up'!$C:$C,MATCH($A159,'Smelter Look-up'!$E:$E,0)))</f>
        <v>Global Advanced Metals Aizu</v>
      </c>
      <c r="D159" s="283"/>
      <c r="E159" s="217" t="str">
        <f ca="1">IF(ISERROR($V159),"",OFFSET('Smelter Look-up'!$D$4,$V159-4,0)&amp;"")</f>
        <v>JAPAN</v>
      </c>
      <c r="F159" s="217" t="str">
        <f ca="1">IF(ISERROR($V159),"",OFFSET('Smelter Look-up'!$E$4,$V159-4,0))</f>
        <v>CID002558</v>
      </c>
      <c r="G159" s="217" t="str">
        <f ca="1">IF(C159=$X$4,"Enter smelter details",IF(ISERROR($V159),"",OFFSET('Smelter Look-up'!$F$4,$V159-4,0)))</f>
        <v>RMI</v>
      </c>
      <c r="H159" s="218">
        <f ca="1">IF(ISERROR($V159),"",OFFSET('Smelter Look-up'!$G$4,$V159-4,0))</f>
        <v>0</v>
      </c>
      <c r="I159" s="219" t="str">
        <f ca="1">IF(ISERROR($V159),"",OFFSET('Smelter Look-up'!$H$4,$V159-4,0))</f>
        <v>Aizuwakamatsu</v>
      </c>
      <c r="J159" s="219" t="str">
        <f ca="1">IF(ISERROR($V159),"",OFFSET('Smelter Look-up'!$I$4,$V159-4,0))</f>
        <v>Fukushima</v>
      </c>
      <c r="K159" s="273"/>
      <c r="L159" s="273"/>
      <c r="M159" s="273"/>
      <c r="N159" s="273"/>
      <c r="O159" s="273"/>
      <c r="P159" s="220"/>
      <c r="Q159" s="274"/>
      <c r="R159" s="217" t="str">
        <f ca="1">IF(ISERROR($V159),"",OFFSET('Smelter Look-up'!$C$4,$V159-4,0)&amp;"")</f>
        <v>Global Advanced Metals Aizu</v>
      </c>
      <c r="S159" s="225" t="str">
        <f t="shared" ca="1" si="21"/>
        <v>JP</v>
      </c>
      <c r="T159" s="225" t="str">
        <f ca="1">IF(B159="","",IF(ISERROR(MATCH($J159,SorP!$B$1:$B$6230,0)),"",INDIRECT("'SorP'!$A$"&amp;MATCH($J159,SorP!$B$1:$B$6230,0))))</f>
        <v>JP-07</v>
      </c>
      <c r="U159" s="241"/>
      <c r="V159" s="275">
        <f ca="1">IF(C159="",NA(),MATCH($B159&amp;$C159,'Smelter Look-up'!$J:$J,0))</f>
        <v>304</v>
      </c>
      <c r="W159" s="276"/>
      <c r="X159" s="276">
        <f t="shared" ca="1" si="22"/>
        <v>0</v>
      </c>
      <c r="Y159" s="276"/>
      <c r="Z159" s="276"/>
      <c r="AB159" s="278" t="str">
        <f t="shared" ca="1" si="23"/>
        <v>TantalumGlobal Advanced Metals Aizu</v>
      </c>
    </row>
    <row r="160" spans="1:28" s="277" customFormat="1" ht="20.25">
      <c r="A160" s="450" t="s">
        <v>1437</v>
      </c>
      <c r="B160" s="217" t="str">
        <f ca="1">IF(LEN(A160)=0,"",INDEX('Smelter Look-up'!$A:$A,MATCH($A160,'Smelter Look-up'!$E:$E,0)))</f>
        <v>Tantalum</v>
      </c>
      <c r="C160" s="221" t="str">
        <f ca="1">IF(LEN(A160)=0,"",INDEX('Smelter Look-up'!$C:$C,MATCH($A160,'Smelter Look-up'!$E:$E,0)))</f>
        <v>Global Advanced Metals Boyertown</v>
      </c>
      <c r="D160" s="283"/>
      <c r="E160" s="217" t="str">
        <f ca="1">IF(ISERROR($V160),"",OFFSET('Smelter Look-up'!$D$4,$V160-4,0)&amp;"")</f>
        <v>UNITED STATES OF AMERICA</v>
      </c>
      <c r="F160" s="217" t="str">
        <f ca="1">IF(ISERROR($V160),"",OFFSET('Smelter Look-up'!$E$4,$V160-4,0))</f>
        <v>CID002557</v>
      </c>
      <c r="G160" s="217" t="str">
        <f ca="1">IF(C160=$X$4,"Enter smelter details",IF(ISERROR($V160),"",OFFSET('Smelter Look-up'!$F$4,$V160-4,0)))</f>
        <v>RMI</v>
      </c>
      <c r="H160" s="218">
        <f ca="1">IF(ISERROR($V160),"",OFFSET('Smelter Look-up'!$G$4,$V160-4,0))</f>
        <v>0</v>
      </c>
      <c r="I160" s="219" t="str">
        <f ca="1">IF(ISERROR($V160),"",OFFSET('Smelter Look-up'!$H$4,$V160-4,0))</f>
        <v>Boyertown</v>
      </c>
      <c r="J160" s="219" t="str">
        <f ca="1">IF(ISERROR($V160),"",OFFSET('Smelter Look-up'!$I$4,$V160-4,0))</f>
        <v>Pennsylvania</v>
      </c>
      <c r="K160" s="273"/>
      <c r="L160" s="273"/>
      <c r="M160" s="273"/>
      <c r="N160" s="273"/>
      <c r="O160" s="273"/>
      <c r="P160" s="220"/>
      <c r="Q160" s="274"/>
      <c r="R160" s="217" t="str">
        <f ca="1">IF(ISERROR($V160),"",OFFSET('Smelter Look-up'!$C$4,$V160-4,0)&amp;"")</f>
        <v>Global Advanced Metals Boyertown</v>
      </c>
      <c r="S160" s="225" t="str">
        <f t="shared" ca="1" si="21"/>
        <v>US</v>
      </c>
      <c r="T160" s="225" t="str">
        <f ca="1">IF(B160="","",IF(ISERROR(MATCH($J160,SorP!$B$1:$B$6230,0)),"",INDIRECT("'SorP'!$A$"&amp;MATCH($J160,SorP!$B$1:$B$6230,0))))</f>
        <v>US-PA</v>
      </c>
      <c r="U160" s="241"/>
      <c r="V160" s="275">
        <f ca="1">IF(C160="",NA(),MATCH($B160&amp;$C160,'Smelter Look-up'!$J:$J,0))</f>
        <v>305</v>
      </c>
      <c r="W160" s="276"/>
      <c r="X160" s="276">
        <f t="shared" ca="1" si="22"/>
        <v>0</v>
      </c>
      <c r="Y160" s="276"/>
      <c r="Z160" s="276"/>
      <c r="AB160" s="278" t="str">
        <f t="shared" ca="1" si="23"/>
        <v>TantalumGlobal Advanced Metals Boyertown</v>
      </c>
    </row>
    <row r="161" spans="1:28" s="277" customFormat="1" ht="20.25">
      <c r="A161" s="450" t="s">
        <v>768</v>
      </c>
      <c r="B161" s="217" t="str">
        <f ca="1">IF(LEN(A161)=0,"",INDEX('Smelter Look-up'!$A:$A,MATCH($A161,'Smelter Look-up'!$E:$E,0)))</f>
        <v>Tantalum</v>
      </c>
      <c r="C161" s="221" t="str">
        <f ca="1">IF(LEN(A161)=0,"",INDEX('Smelter Look-up'!$C:$C,MATCH($A161,'Smelter Look-up'!$E:$E,0)))</f>
        <v>Guangdong Zhiyuan New Material Co., Ltd.</v>
      </c>
      <c r="D161" s="283"/>
      <c r="E161" s="217" t="str">
        <f ca="1">IF(ISERROR($V161),"",OFFSET('Smelter Look-up'!$D$4,$V161-4,0)&amp;"")</f>
        <v>CHINA</v>
      </c>
      <c r="F161" s="217" t="str">
        <f ca="1">IF(ISERROR($V161),"",OFFSET('Smelter Look-up'!$E$4,$V161-4,0))</f>
        <v>CID000616</v>
      </c>
      <c r="G161" s="217" t="str">
        <f ca="1">IF(C161=$X$4,"Enter smelter details",IF(ISERROR($V161),"",OFFSET('Smelter Look-up'!$F$4,$V161-4,0)))</f>
        <v>RMI</v>
      </c>
      <c r="H161" s="218">
        <f ca="1">IF(ISERROR($V161),"",OFFSET('Smelter Look-up'!$G$4,$V161-4,0))</f>
        <v>0</v>
      </c>
      <c r="I161" s="219" t="str">
        <f ca="1">IF(ISERROR($V161),"",OFFSET('Smelter Look-up'!$H$4,$V161-4,0))</f>
        <v>Yingde</v>
      </c>
      <c r="J161" s="219" t="str">
        <f ca="1">IF(ISERROR($V161),"",OFFSET('Smelter Look-up'!$I$4,$V161-4,0))</f>
        <v>Guangdong Sheng</v>
      </c>
      <c r="K161" s="273"/>
      <c r="L161" s="273"/>
      <c r="M161" s="273"/>
      <c r="N161" s="273"/>
      <c r="O161" s="273"/>
      <c r="P161" s="220"/>
      <c r="Q161" s="274"/>
      <c r="R161" s="217" t="str">
        <f ca="1">IF(ISERROR($V161),"",OFFSET('Smelter Look-up'!$C$4,$V161-4,0)&amp;"")</f>
        <v>Guangdong Zhiyuan New Material Co., Ltd.</v>
      </c>
      <c r="S161" s="225" t="str">
        <f t="shared" ca="1" si="21"/>
        <v>CN</v>
      </c>
      <c r="T161" s="225" t="str">
        <f ca="1">IF(B161="","",IF(ISERROR(MATCH($J161,SorP!$B$1:$B$6230,0)),"",INDIRECT("'SorP'!$A$"&amp;MATCH($J161,SorP!$B$1:$B$6230,0))))</f>
        <v>CN-GD</v>
      </c>
      <c r="U161" s="241"/>
      <c r="V161" s="275">
        <f ca="1">IF(C161="",NA(),MATCH($B161&amp;$C161,'Smelter Look-up'!$J:$J,0))</f>
        <v>306</v>
      </c>
      <c r="W161" s="276"/>
      <c r="X161" s="276">
        <f t="shared" ca="1" si="22"/>
        <v>0</v>
      </c>
      <c r="Y161" s="276"/>
      <c r="Z161" s="276"/>
      <c r="AB161" s="278" t="str">
        <f t="shared" ca="1" si="23"/>
        <v>TantalumGuangdong Zhiyuan New Material Co., Ltd.</v>
      </c>
    </row>
    <row r="162" spans="1:28" s="277" customFormat="1" ht="20.25">
      <c r="A162" s="450" t="s">
        <v>1439</v>
      </c>
      <c r="B162" s="217" t="str">
        <f ca="1">IF(LEN(A162)=0,"",INDEX('Smelter Look-up'!$A:$A,MATCH($A162,'Smelter Look-up'!$E:$E,0)))</f>
        <v>Tantalum</v>
      </c>
      <c r="C162" s="221" t="str">
        <f ca="1">IF(LEN(A162)=0,"",INDEX('Smelter Look-up'!$C:$C,MATCH($A162,'Smelter Look-up'!$E:$E,0)))</f>
        <v>H.C. Starck Co., Ltd.</v>
      </c>
      <c r="D162" s="283"/>
      <c r="E162" s="217" t="str">
        <f ca="1">IF(ISERROR($V162),"",OFFSET('Smelter Look-up'!$D$4,$V162-4,0)&amp;"")</f>
        <v>THAILAND</v>
      </c>
      <c r="F162" s="217" t="str">
        <f ca="1">IF(ISERROR($V162),"",OFFSET('Smelter Look-up'!$E$4,$V162-4,0))</f>
        <v>CID002544</v>
      </c>
      <c r="G162" s="217" t="str">
        <f ca="1">IF(C162=$X$4,"Enter smelter details",IF(ISERROR($V162),"",OFFSET('Smelter Look-up'!$F$4,$V162-4,0)))</f>
        <v>RMI</v>
      </c>
      <c r="H162" s="218">
        <f ca="1">IF(ISERROR($V162),"",OFFSET('Smelter Look-up'!$G$4,$V162-4,0))</f>
        <v>0</v>
      </c>
      <c r="I162" s="219" t="str">
        <f ca="1">IF(ISERROR($V162),"",OFFSET('Smelter Look-up'!$H$4,$V162-4,0))</f>
        <v>Map Ta Phut</v>
      </c>
      <c r="J162" s="219" t="str">
        <f ca="1">IF(ISERROR($V162),"",OFFSET('Smelter Look-up'!$I$4,$V162-4,0))</f>
        <v>Rayong</v>
      </c>
      <c r="K162" s="273"/>
      <c r="L162" s="273"/>
      <c r="M162" s="273"/>
      <c r="N162" s="273"/>
      <c r="O162" s="273"/>
      <c r="P162" s="220"/>
      <c r="Q162" s="274"/>
      <c r="R162" s="217" t="str">
        <f ca="1">IF(ISERROR($V162),"",OFFSET('Smelter Look-up'!$C$4,$V162-4,0)&amp;"")</f>
        <v>H.C. Starck Co., Ltd.</v>
      </c>
      <c r="S162" s="225" t="str">
        <f t="shared" ca="1" si="21"/>
        <v>TH</v>
      </c>
      <c r="T162" s="225" t="str">
        <f ca="1">IF(B162="","",IF(ISERROR(MATCH($J162,SorP!$B$1:$B$6230,0)),"",INDIRECT("'SorP'!$A$"&amp;MATCH($J162,SorP!$B$1:$B$6230,0))))</f>
        <v>TH-21</v>
      </c>
      <c r="U162" s="241"/>
      <c r="V162" s="275">
        <f ca="1">IF(C162="",NA(),MATCH($B162&amp;$C162,'Smelter Look-up'!$J:$J,0))</f>
        <v>307</v>
      </c>
      <c r="W162" s="276"/>
      <c r="X162" s="276">
        <f t="shared" ca="1" si="22"/>
        <v>0</v>
      </c>
      <c r="Y162" s="276"/>
      <c r="Z162" s="276"/>
      <c r="AB162" s="278" t="str">
        <f t="shared" ca="1" si="23"/>
        <v>TantalumH.C. Starck Co., Ltd.</v>
      </c>
    </row>
    <row r="163" spans="1:28" s="277" customFormat="1" ht="20.25">
      <c r="A163" s="450" t="s">
        <v>1442</v>
      </c>
      <c r="B163" s="217" t="str">
        <f ca="1">IF(LEN(A163)=0,"",INDEX('Smelter Look-up'!$A:$A,MATCH($A163,'Smelter Look-up'!$E:$E,0)))</f>
        <v>Tantalum</v>
      </c>
      <c r="C163" s="221" t="str">
        <f ca="1">IF(LEN(A163)=0,"",INDEX('Smelter Look-up'!$C:$C,MATCH($A163,'Smelter Look-up'!$E:$E,0)))</f>
        <v>H.C. Starck Hermsdorf GmbH</v>
      </c>
      <c r="D163" s="283"/>
      <c r="E163" s="217" t="str">
        <f ca="1">IF(ISERROR($V163),"",OFFSET('Smelter Look-up'!$D$4,$V163-4,0)&amp;"")</f>
        <v>GERMANY</v>
      </c>
      <c r="F163" s="217" t="str">
        <f ca="1">IF(ISERROR($V163),"",OFFSET('Smelter Look-up'!$E$4,$V163-4,0))</f>
        <v>CID002547</v>
      </c>
      <c r="G163" s="217" t="str">
        <f ca="1">IF(C163=$X$4,"Enter smelter details",IF(ISERROR($V163),"",OFFSET('Smelter Look-up'!$F$4,$V163-4,0)))</f>
        <v>RMI</v>
      </c>
      <c r="H163" s="218">
        <f ca="1">IF(ISERROR($V163),"",OFFSET('Smelter Look-up'!$G$4,$V163-4,0))</f>
        <v>0</v>
      </c>
      <c r="I163" s="219" t="str">
        <f ca="1">IF(ISERROR($V163),"",OFFSET('Smelter Look-up'!$H$4,$V163-4,0))</f>
        <v>Hermsdorf</v>
      </c>
      <c r="J163" s="219" t="str">
        <f ca="1">IF(ISERROR($V163),"",OFFSET('Smelter Look-up'!$I$4,$V163-4,0))</f>
        <v>Thüringen</v>
      </c>
      <c r="K163" s="273"/>
      <c r="L163" s="273"/>
      <c r="M163" s="273"/>
      <c r="N163" s="273"/>
      <c r="O163" s="273"/>
      <c r="P163" s="220"/>
      <c r="Q163" s="274"/>
      <c r="R163" s="217" t="str">
        <f ca="1">IF(ISERROR($V163),"",OFFSET('Smelter Look-up'!$C$4,$V163-4,0)&amp;"")</f>
        <v>H.C. Starck Hermsdorf GmbH</v>
      </c>
      <c r="S163" s="225" t="str">
        <f t="shared" ca="1" si="21"/>
        <v>DE</v>
      </c>
      <c r="T163" s="225" t="str">
        <f ca="1">IF(B163="","",IF(ISERROR(MATCH($J163,SorP!$B$1:$B$6230,0)),"",INDIRECT("'SorP'!$A$"&amp;MATCH($J163,SorP!$B$1:$B$6230,0))))</f>
        <v>DE-TH</v>
      </c>
      <c r="U163" s="241"/>
      <c r="V163" s="275">
        <f ca="1">IF(C163="",NA(),MATCH($B163&amp;$C163,'Smelter Look-up'!$J:$J,0))</f>
        <v>308</v>
      </c>
      <c r="W163" s="276"/>
      <c r="X163" s="276">
        <f t="shared" ca="1" si="22"/>
        <v>0</v>
      </c>
      <c r="Y163" s="276"/>
      <c r="Z163" s="276"/>
      <c r="AB163" s="278" t="str">
        <f t="shared" ca="1" si="23"/>
        <v>TantalumH.C. Starck Hermsdorf GmbH</v>
      </c>
    </row>
    <row r="164" spans="1:28" s="277" customFormat="1" ht="20.25">
      <c r="A164" s="450" t="s">
        <v>1444</v>
      </c>
      <c r="B164" s="217" t="str">
        <f ca="1">IF(LEN(A164)=0,"",INDEX('Smelter Look-up'!$A:$A,MATCH($A164,'Smelter Look-up'!$E:$E,0)))</f>
        <v>Tantalum</v>
      </c>
      <c r="C164" s="221" t="str">
        <f ca="1">IF(LEN(A164)=0,"",INDEX('Smelter Look-up'!$C:$C,MATCH($A164,'Smelter Look-up'!$E:$E,0)))</f>
        <v>H.C. Starck Inc.</v>
      </c>
      <c r="D164" s="283"/>
      <c r="E164" s="217" t="str">
        <f ca="1">IF(ISERROR($V164),"",OFFSET('Smelter Look-up'!$D$4,$V164-4,0)&amp;"")</f>
        <v>UNITED STATES OF AMERICA</v>
      </c>
      <c r="F164" s="217" t="str">
        <f ca="1">IF(ISERROR($V164),"",OFFSET('Smelter Look-up'!$E$4,$V164-4,0))</f>
        <v>CID002548</v>
      </c>
      <c r="G164" s="217" t="str">
        <f ca="1">IF(C164=$X$4,"Enter smelter details",IF(ISERROR($V164),"",OFFSET('Smelter Look-up'!$F$4,$V164-4,0)))</f>
        <v>RMI</v>
      </c>
      <c r="H164" s="218">
        <f ca="1">IF(ISERROR($V164),"",OFFSET('Smelter Look-up'!$G$4,$V164-4,0))</f>
        <v>0</v>
      </c>
      <c r="I164" s="219" t="str">
        <f ca="1">IF(ISERROR($V164),"",OFFSET('Smelter Look-up'!$H$4,$V164-4,0))</f>
        <v>Newton</v>
      </c>
      <c r="J164" s="219" t="str">
        <f ca="1">IF(ISERROR($V164),"",OFFSET('Smelter Look-up'!$I$4,$V164-4,0))</f>
        <v>Massachusetts</v>
      </c>
      <c r="K164" s="273"/>
      <c r="L164" s="273"/>
      <c r="M164" s="273"/>
      <c r="N164" s="273"/>
      <c r="O164" s="273"/>
      <c r="P164" s="220"/>
      <c r="Q164" s="274"/>
      <c r="R164" s="217" t="str">
        <f ca="1">IF(ISERROR($V164),"",OFFSET('Smelter Look-up'!$C$4,$V164-4,0)&amp;"")</f>
        <v>H.C. Starck Inc.</v>
      </c>
      <c r="S164" s="225" t="str">
        <f t="shared" ca="1" si="21"/>
        <v>US</v>
      </c>
      <c r="T164" s="225" t="str">
        <f ca="1">IF(B164="","",IF(ISERROR(MATCH($J164,SorP!$B$1:$B$6230,0)),"",INDIRECT("'SorP'!$A$"&amp;MATCH($J164,SorP!$B$1:$B$6230,0))))</f>
        <v>US-MA</v>
      </c>
      <c r="U164" s="241"/>
      <c r="V164" s="275">
        <f ca="1">IF(C164="",NA(),MATCH($B164&amp;$C164,'Smelter Look-up'!$J:$J,0))</f>
        <v>309</v>
      </c>
      <c r="W164" s="276"/>
      <c r="X164" s="276">
        <f t="shared" ca="1" si="22"/>
        <v>0</v>
      </c>
      <c r="Y164" s="276"/>
      <c r="Z164" s="276"/>
      <c r="AB164" s="278" t="str">
        <f t="shared" ca="1" si="23"/>
        <v>TantalumH.C. Starck Inc.</v>
      </c>
    </row>
    <row r="165" spans="1:28" s="277" customFormat="1" ht="20.25">
      <c r="A165" s="450" t="s">
        <v>1446</v>
      </c>
      <c r="B165" s="217" t="str">
        <f ca="1">IF(LEN(A165)=0,"",INDEX('Smelter Look-up'!$A:$A,MATCH($A165,'Smelter Look-up'!$E:$E,0)))</f>
        <v>Tantalum</v>
      </c>
      <c r="C165" s="221" t="str">
        <f ca="1">IF(LEN(A165)=0,"",INDEX('Smelter Look-up'!$C:$C,MATCH($A165,'Smelter Look-up'!$E:$E,0)))</f>
        <v>H.C. Starck Ltd.</v>
      </c>
      <c r="D165" s="283"/>
      <c r="E165" s="217" t="str">
        <f ca="1">IF(ISERROR($V165),"",OFFSET('Smelter Look-up'!$D$4,$V165-4,0)&amp;"")</f>
        <v>JAPAN</v>
      </c>
      <c r="F165" s="217" t="str">
        <f ca="1">IF(ISERROR($V165),"",OFFSET('Smelter Look-up'!$E$4,$V165-4,0))</f>
        <v>CID002549</v>
      </c>
      <c r="G165" s="217" t="str">
        <f ca="1">IF(C165=$X$4,"Enter smelter details",IF(ISERROR($V165),"",OFFSET('Smelter Look-up'!$F$4,$V165-4,0)))</f>
        <v>RMI</v>
      </c>
      <c r="H165" s="218">
        <f ca="1">IF(ISERROR($V165),"",OFFSET('Smelter Look-up'!$G$4,$V165-4,0))</f>
        <v>0</v>
      </c>
      <c r="I165" s="219" t="str">
        <f ca="1">IF(ISERROR($V165),"",OFFSET('Smelter Look-up'!$H$4,$V165-4,0))</f>
        <v>Mito</v>
      </c>
      <c r="J165" s="219" t="str">
        <f ca="1">IF(ISERROR($V165),"",OFFSET('Smelter Look-up'!$I$4,$V165-4,0))</f>
        <v>Ibaraki</v>
      </c>
      <c r="K165" s="273"/>
      <c r="L165" s="273"/>
      <c r="M165" s="273"/>
      <c r="N165" s="273"/>
      <c r="O165" s="273"/>
      <c r="P165" s="220"/>
      <c r="Q165" s="274"/>
      <c r="R165" s="217" t="str">
        <f ca="1">IF(ISERROR($V165),"",OFFSET('Smelter Look-up'!$C$4,$V165-4,0)&amp;"")</f>
        <v>H.C. Starck Ltd.</v>
      </c>
      <c r="S165" s="225" t="str">
        <f t="shared" ca="1" si="21"/>
        <v>JP</v>
      </c>
      <c r="T165" s="225" t="str">
        <f ca="1">IF(B165="","",IF(ISERROR(MATCH($J165,SorP!$B$1:$B$6230,0)),"",INDIRECT("'SorP'!$A$"&amp;MATCH($J165,SorP!$B$1:$B$6230,0))))</f>
        <v>JP-08</v>
      </c>
      <c r="U165" s="241"/>
      <c r="V165" s="275">
        <f ca="1">IF(C165="",NA(),MATCH($B165&amp;$C165,'Smelter Look-up'!$J:$J,0))</f>
        <v>310</v>
      </c>
      <c r="W165" s="276"/>
      <c r="X165" s="276">
        <f t="shared" ca="1" si="22"/>
        <v>0</v>
      </c>
      <c r="Y165" s="276"/>
      <c r="Z165" s="276"/>
      <c r="AB165" s="278" t="str">
        <f t="shared" ca="1" si="23"/>
        <v>TantalumH.C. Starck Ltd.</v>
      </c>
    </row>
    <row r="166" spans="1:28" s="277" customFormat="1" ht="20.25">
      <c r="A166" s="450" t="s">
        <v>1447</v>
      </c>
      <c r="B166" s="217" t="str">
        <f ca="1">IF(LEN(A166)=0,"",INDEX('Smelter Look-up'!$A:$A,MATCH($A166,'Smelter Look-up'!$E:$E,0)))</f>
        <v>Tantalum</v>
      </c>
      <c r="C166" s="221" t="str">
        <f ca="1">IF(LEN(A166)=0,"",INDEX('Smelter Look-up'!$C:$C,MATCH($A166,'Smelter Look-up'!$E:$E,0)))</f>
        <v>H.C. Starck Smelting GmbH &amp; Co. KG</v>
      </c>
      <c r="D166" s="283"/>
      <c r="E166" s="217" t="str">
        <f ca="1">IF(ISERROR($V166),"",OFFSET('Smelter Look-up'!$D$4,$V166-4,0)&amp;"")</f>
        <v>GERMANY</v>
      </c>
      <c r="F166" s="217" t="str">
        <f ca="1">IF(ISERROR($V166),"",OFFSET('Smelter Look-up'!$E$4,$V166-4,0))</f>
        <v>CID002550</v>
      </c>
      <c r="G166" s="217" t="str">
        <f ca="1">IF(C166=$X$4,"Enter smelter details",IF(ISERROR($V166),"",OFFSET('Smelter Look-up'!$F$4,$V166-4,0)))</f>
        <v>RMI</v>
      </c>
      <c r="H166" s="218">
        <f ca="1">IF(ISERROR($V166),"",OFFSET('Smelter Look-up'!$G$4,$V166-4,0))</f>
        <v>0</v>
      </c>
      <c r="I166" s="219" t="str">
        <f ca="1">IF(ISERROR($V166),"",OFFSET('Smelter Look-up'!$H$4,$V166-4,0))</f>
        <v>Laufenburg</v>
      </c>
      <c r="J166" s="219" t="str">
        <f ca="1">IF(ISERROR($V166),"",OFFSET('Smelter Look-up'!$I$4,$V166-4,0))</f>
        <v>Baden-Württemberg</v>
      </c>
      <c r="K166" s="273"/>
      <c r="L166" s="273"/>
      <c r="M166" s="273"/>
      <c r="N166" s="273"/>
      <c r="O166" s="273"/>
      <c r="P166" s="220"/>
      <c r="Q166" s="274"/>
      <c r="R166" s="217" t="str">
        <f ca="1">IF(ISERROR($V166),"",OFFSET('Smelter Look-up'!$C$4,$V166-4,0)&amp;"")</f>
        <v>H.C. Starck Smelting GmbH &amp; Co. KG</v>
      </c>
      <c r="S166" s="225" t="str">
        <f t="shared" ref="S166:S196" ca="1" si="24">IF(B166="","",IF(ISERROR(MATCH($E166,CL,0)),"Unknown",INDIRECT("'C'!$A$"&amp;MATCH($E166,CL,0)+1)))</f>
        <v>DE</v>
      </c>
      <c r="T166" s="225" t="str">
        <f ca="1">IF(B166="","",IF(ISERROR(MATCH($J166,SorP!$B$1:$B$6230,0)),"",INDIRECT("'SorP'!$A$"&amp;MATCH($J166,SorP!$B$1:$B$6230,0))))</f>
        <v>DE-BW</v>
      </c>
      <c r="U166" s="241"/>
      <c r="V166" s="275">
        <f ca="1">IF(C166="",NA(),MATCH($B166&amp;$C166,'Smelter Look-up'!$J:$J,0))</f>
        <v>311</v>
      </c>
      <c r="W166" s="276"/>
      <c r="X166" s="276">
        <f t="shared" ref="X166:X196" ca="1" si="25">IF(AND(C166="Smelter not listed",OR(LEN(D166)=0,LEN(E166)=0)),1,0)</f>
        <v>0</v>
      </c>
      <c r="Y166" s="276"/>
      <c r="Z166" s="276"/>
      <c r="AB166" s="278" t="str">
        <f t="shared" ref="AB166:AB196" ca="1" si="26">B166&amp;C166</f>
        <v>TantalumH.C. Starck Smelting GmbH &amp; Co. KG</v>
      </c>
    </row>
    <row r="167" spans="1:28" s="277" customFormat="1" ht="20.25">
      <c r="A167" s="450" t="s">
        <v>1440</v>
      </c>
      <c r="B167" s="217" t="str">
        <f ca="1">IF(LEN(A167)=0,"",INDEX('Smelter Look-up'!$A:$A,MATCH($A167,'Smelter Look-up'!$E:$E,0)))</f>
        <v>Tantalum</v>
      </c>
      <c r="C167" s="221" t="str">
        <f ca="1">IF(LEN(A167)=0,"",INDEX('Smelter Look-up'!$C:$C,MATCH($A167,'Smelter Look-up'!$E:$E,0)))</f>
        <v>H.C. Starck Tantalum and Niobium GmbH</v>
      </c>
      <c r="D167" s="283"/>
      <c r="E167" s="217" t="str">
        <f ca="1">IF(ISERROR($V167),"",OFFSET('Smelter Look-up'!$D$4,$V167-4,0)&amp;"")</f>
        <v>GERMANY</v>
      </c>
      <c r="F167" s="217" t="str">
        <f ca="1">IF(ISERROR($V167),"",OFFSET('Smelter Look-up'!$E$4,$V167-4,0))</f>
        <v>CID002545</v>
      </c>
      <c r="G167" s="217" t="str">
        <f ca="1">IF(C167=$X$4,"Enter smelter details",IF(ISERROR($V167),"",OFFSET('Smelter Look-up'!$F$4,$V167-4,0)))</f>
        <v>RMI</v>
      </c>
      <c r="H167" s="218">
        <f ca="1">IF(ISERROR($V167),"",OFFSET('Smelter Look-up'!$G$4,$V167-4,0))</f>
        <v>0</v>
      </c>
      <c r="I167" s="219" t="str">
        <f ca="1">IF(ISERROR($V167),"",OFFSET('Smelter Look-up'!$H$4,$V167-4,0))</f>
        <v>Goslar</v>
      </c>
      <c r="J167" s="219" t="str">
        <f ca="1">IF(ISERROR($V167),"",OFFSET('Smelter Look-up'!$I$4,$V167-4,0))</f>
        <v>Niedersachsen</v>
      </c>
      <c r="K167" s="273"/>
      <c r="L167" s="273"/>
      <c r="M167" s="273"/>
      <c r="N167" s="273"/>
      <c r="O167" s="273"/>
      <c r="P167" s="220"/>
      <c r="Q167" s="274"/>
      <c r="R167" s="217" t="str">
        <f ca="1">IF(ISERROR($V167),"",OFFSET('Smelter Look-up'!$C$4,$V167-4,0)&amp;"")</f>
        <v>H.C. Starck Tantalum and Niobium GmbH</v>
      </c>
      <c r="S167" s="225" t="str">
        <f t="shared" ca="1" si="24"/>
        <v>DE</v>
      </c>
      <c r="T167" s="225" t="str">
        <f ca="1">IF(B167="","",IF(ISERROR(MATCH($J167,SorP!$B$1:$B$6230,0)),"",INDIRECT("'SorP'!$A$"&amp;MATCH($J167,SorP!$B$1:$B$6230,0))))</f>
        <v>DE-NI</v>
      </c>
      <c r="U167" s="241"/>
      <c r="V167" s="275">
        <f ca="1">IF(C167="",NA(),MATCH($B167&amp;$C167,'Smelter Look-up'!$J:$J,0))</f>
        <v>312</v>
      </c>
      <c r="W167" s="276"/>
      <c r="X167" s="276">
        <f t="shared" ca="1" si="25"/>
        <v>0</v>
      </c>
      <c r="Y167" s="276"/>
      <c r="Z167" s="276"/>
      <c r="AB167" s="278" t="str">
        <f t="shared" ca="1" si="26"/>
        <v>TantalumH.C. Starck Tantalum and Niobium GmbH</v>
      </c>
    </row>
    <row r="168" spans="1:28" s="277" customFormat="1" ht="20.25">
      <c r="A168" s="450" t="s">
        <v>406</v>
      </c>
      <c r="B168" s="217" t="str">
        <f ca="1">IF(LEN(A168)=0,"",INDEX('Smelter Look-up'!$A:$A,MATCH($A168,'Smelter Look-up'!$E:$E,0)))</f>
        <v>Tantalum</v>
      </c>
      <c r="C168" s="221" t="str">
        <f ca="1">IF(LEN(A168)=0,"",INDEX('Smelter Look-up'!$C:$C,MATCH($A168,'Smelter Look-up'!$E:$E,0)))</f>
        <v>Hengyang King Xing Lifeng New Materials Co., Ltd.</v>
      </c>
      <c r="D168" s="283"/>
      <c r="E168" s="217" t="str">
        <f ca="1">IF(ISERROR($V168),"",OFFSET('Smelter Look-up'!$D$4,$V168-4,0)&amp;"")</f>
        <v>CHINA</v>
      </c>
      <c r="F168" s="217" t="str">
        <f ca="1">IF(ISERROR($V168),"",OFFSET('Smelter Look-up'!$E$4,$V168-4,0))</f>
        <v>CID002492</v>
      </c>
      <c r="G168" s="217" t="str">
        <f ca="1">IF(C168=$X$4,"Enter smelter details",IF(ISERROR($V168),"",OFFSET('Smelter Look-up'!$F$4,$V168-4,0)))</f>
        <v>RMI</v>
      </c>
      <c r="H168" s="218">
        <f ca="1">IF(ISERROR($V168),"",OFFSET('Smelter Look-up'!$G$4,$V168-4,0))</f>
        <v>0</v>
      </c>
      <c r="I168" s="219" t="str">
        <f ca="1">IF(ISERROR($V168),"",OFFSET('Smelter Look-up'!$H$4,$V168-4,0))</f>
        <v>Hengyang</v>
      </c>
      <c r="J168" s="219" t="str">
        <f ca="1">IF(ISERROR($V168),"",OFFSET('Smelter Look-up'!$I$4,$V168-4,0))</f>
        <v>Hunan Sheng</v>
      </c>
      <c r="K168" s="273"/>
      <c r="L168" s="273"/>
      <c r="M168" s="273"/>
      <c r="N168" s="273"/>
      <c r="O168" s="273"/>
      <c r="P168" s="220"/>
      <c r="Q168" s="274"/>
      <c r="R168" s="217" t="str">
        <f ca="1">IF(ISERROR($V168),"",OFFSET('Smelter Look-up'!$C$4,$V168-4,0)&amp;"")</f>
        <v>Hengyang King Xing Lifeng New Materials Co., Ltd.</v>
      </c>
      <c r="S168" s="225" t="str">
        <f t="shared" ca="1" si="24"/>
        <v>CN</v>
      </c>
      <c r="T168" s="225" t="str">
        <f ca="1">IF(B168="","",IF(ISERROR(MATCH($J168,SorP!$B$1:$B$6230,0)),"",INDIRECT("'SorP'!$A$"&amp;MATCH($J168,SorP!$B$1:$B$6230,0))))</f>
        <v>CN-HN</v>
      </c>
      <c r="U168" s="241"/>
      <c r="V168" s="275">
        <f ca="1">IF(C168="",NA(),MATCH($B168&amp;$C168,'Smelter Look-up'!$J:$J,0))</f>
        <v>313</v>
      </c>
      <c r="W168" s="276"/>
      <c r="X168" s="276">
        <f t="shared" ca="1" si="25"/>
        <v>0</v>
      </c>
      <c r="Y168" s="276"/>
      <c r="Z168" s="276"/>
      <c r="AB168" s="278" t="str">
        <f t="shared" ca="1" si="26"/>
        <v>TantalumHengyang King Xing Lifeng New Materials Co., Ltd.</v>
      </c>
    </row>
    <row r="169" spans="1:28" s="277" customFormat="1" ht="20.25">
      <c r="A169" s="450" t="s">
        <v>1421</v>
      </c>
      <c r="B169" s="217" t="str">
        <f ca="1">IF(LEN(A169)=0,"",INDEX('Smelter Look-up'!$A:$A,MATCH($A169,'Smelter Look-up'!$E:$E,0)))</f>
        <v>Tantalum</v>
      </c>
      <c r="C169" s="221" t="str">
        <f ca="1">IF(LEN(A169)=0,"",INDEX('Smelter Look-up'!$C:$C,MATCH($A169,'Smelter Look-up'!$E:$E,0)))</f>
        <v>Jiangxi Dinghai Tantalum &amp; Niobium Co., Ltd.</v>
      </c>
      <c r="D169" s="283"/>
      <c r="E169" s="217" t="str">
        <f ca="1">IF(ISERROR($V169),"",OFFSET('Smelter Look-up'!$D$4,$V169-4,0)&amp;"")</f>
        <v>CHINA</v>
      </c>
      <c r="F169" s="217" t="str">
        <f ca="1">IF(ISERROR($V169),"",OFFSET('Smelter Look-up'!$E$4,$V169-4,0))</f>
        <v>CID002512</v>
      </c>
      <c r="G169" s="217" t="str">
        <f ca="1">IF(C169=$X$4,"Enter smelter details",IF(ISERROR($V169),"",OFFSET('Smelter Look-up'!$F$4,$V169-4,0)))</f>
        <v>RMI</v>
      </c>
      <c r="H169" s="218">
        <f ca="1">IF(ISERROR($V169),"",OFFSET('Smelter Look-up'!$G$4,$V169-4,0))</f>
        <v>0</v>
      </c>
      <c r="I169" s="219" t="str">
        <f ca="1">IF(ISERROR($V169),"",OFFSET('Smelter Look-up'!$H$4,$V169-4,0))</f>
        <v>Fengxin</v>
      </c>
      <c r="J169" s="219" t="str">
        <f ca="1">IF(ISERROR($V169),"",OFFSET('Smelter Look-up'!$I$4,$V169-4,0))</f>
        <v>Jiangxi Sheng</v>
      </c>
      <c r="K169" s="273"/>
      <c r="L169" s="273"/>
      <c r="M169" s="273"/>
      <c r="N169" s="273"/>
      <c r="O169" s="273"/>
      <c r="P169" s="220"/>
      <c r="Q169" s="274"/>
      <c r="R169" s="217" t="str">
        <f ca="1">IF(ISERROR($V169),"",OFFSET('Smelter Look-up'!$C$4,$V169-4,0)&amp;"")</f>
        <v>Jiangxi Dinghai Tantalum &amp; Niobium Co., Ltd.</v>
      </c>
      <c r="S169" s="225" t="str">
        <f t="shared" ca="1" si="24"/>
        <v>CN</v>
      </c>
      <c r="T169" s="225" t="str">
        <f ca="1">IF(B169="","",IF(ISERROR(MATCH($J169,SorP!$B$1:$B$6230,0)),"",INDIRECT("'SorP'!$A$"&amp;MATCH($J169,SorP!$B$1:$B$6230,0))))</f>
        <v>CN-JX</v>
      </c>
      <c r="U169" s="241"/>
      <c r="V169" s="275">
        <f ca="1">IF(C169="",NA(),MATCH($B169&amp;$C169,'Smelter Look-up'!$J:$J,0))</f>
        <v>314</v>
      </c>
      <c r="W169" s="276"/>
      <c r="X169" s="276">
        <f t="shared" ca="1" si="25"/>
        <v>0</v>
      </c>
      <c r="Y169" s="276"/>
      <c r="Z169" s="276"/>
      <c r="AB169" s="278" t="str">
        <f t="shared" ca="1" si="26"/>
        <v>TantalumJiangxi Dinghai Tantalum &amp; Niobium Co., Ltd.</v>
      </c>
    </row>
    <row r="170" spans="1:28" s="277" customFormat="1" ht="20.25">
      <c r="A170" s="450" t="s">
        <v>2387</v>
      </c>
      <c r="B170" s="217" t="str">
        <f ca="1">IF(LEN(A170)=0,"",INDEX('Smelter Look-up'!$A:$A,MATCH($A170,'Smelter Look-up'!$E:$E,0)))</f>
        <v>Tantalum</v>
      </c>
      <c r="C170" s="221" t="str">
        <f ca="1">IF(LEN(A170)=0,"",INDEX('Smelter Look-up'!$C:$C,MATCH($A170,'Smelter Look-up'!$E:$E,0)))</f>
        <v>Jiangxi Tuohong New Raw Material</v>
      </c>
      <c r="D170" s="283"/>
      <c r="E170" s="217" t="str">
        <f ca="1">IF(ISERROR($V170),"",OFFSET('Smelter Look-up'!$D$4,$V170-4,0)&amp;"")</f>
        <v>CHINA</v>
      </c>
      <c r="F170" s="217" t="str">
        <f ca="1">IF(ISERROR($V170),"",OFFSET('Smelter Look-up'!$E$4,$V170-4,0))</f>
        <v>CID002842</v>
      </c>
      <c r="G170" s="217" t="str">
        <f ca="1">IF(C170=$X$4,"Enter smelter details",IF(ISERROR($V170),"",OFFSET('Smelter Look-up'!$F$4,$V170-4,0)))</f>
        <v>RMI</v>
      </c>
      <c r="H170" s="218">
        <f ca="1">IF(ISERROR($V170),"",OFFSET('Smelter Look-up'!$G$4,$V170-4,0))</f>
        <v>0</v>
      </c>
      <c r="I170" s="219" t="str">
        <f ca="1">IF(ISERROR($V170),"",OFFSET('Smelter Look-up'!$H$4,$V170-4,0))</f>
        <v>Yichun</v>
      </c>
      <c r="J170" s="219" t="str">
        <f ca="1">IF(ISERROR($V170),"",OFFSET('Smelter Look-up'!$I$4,$V170-4,0))</f>
        <v>Jiangxi Sheng</v>
      </c>
      <c r="K170" s="273"/>
      <c r="L170" s="273"/>
      <c r="M170" s="273"/>
      <c r="N170" s="273"/>
      <c r="O170" s="273"/>
      <c r="P170" s="220"/>
      <c r="Q170" s="274"/>
      <c r="R170" s="217" t="str">
        <f ca="1">IF(ISERROR($V170),"",OFFSET('Smelter Look-up'!$C$4,$V170-4,0)&amp;"")</f>
        <v>Jiangxi Tuohong New Raw Material</v>
      </c>
      <c r="S170" s="225" t="str">
        <f t="shared" ca="1" si="24"/>
        <v>CN</v>
      </c>
      <c r="T170" s="225" t="str">
        <f ca="1">IF(B170="","",IF(ISERROR(MATCH($J170,SorP!$B$1:$B$6230,0)),"",INDIRECT("'SorP'!$A$"&amp;MATCH($J170,SorP!$B$1:$B$6230,0))))</f>
        <v>CN-JX</v>
      </c>
      <c r="U170" s="241"/>
      <c r="V170" s="275">
        <f ca="1">IF(C170="",NA(),MATCH($B170&amp;$C170,'Smelter Look-up'!$J:$J,0))</f>
        <v>315</v>
      </c>
      <c r="W170" s="276"/>
      <c r="X170" s="276">
        <f t="shared" ca="1" si="25"/>
        <v>0</v>
      </c>
      <c r="Y170" s="276"/>
      <c r="Z170" s="276"/>
      <c r="AB170" s="278" t="str">
        <f t="shared" ca="1" si="26"/>
        <v>TantalumJiangxi Tuohong New Raw Material</v>
      </c>
    </row>
    <row r="171" spans="1:28" s="277" customFormat="1" ht="20.25">
      <c r="A171" s="450" t="s">
        <v>769</v>
      </c>
      <c r="B171" s="217" t="str">
        <f ca="1">IF(LEN(A171)=0,"",INDEX('Smelter Look-up'!$A:$A,MATCH($A171,'Smelter Look-up'!$E:$E,0)))</f>
        <v>Tantalum</v>
      </c>
      <c r="C171" s="221" t="str">
        <f ca="1">IF(LEN(A171)=0,"",INDEX('Smelter Look-up'!$C:$C,MATCH($A171,'Smelter Look-up'!$E:$E,0)))</f>
        <v>JiuJiang JinXin Nonferrous Metals Co., Ltd.</v>
      </c>
      <c r="D171" s="283"/>
      <c r="E171" s="217" t="str">
        <f ca="1">IF(ISERROR($V171),"",OFFSET('Smelter Look-up'!$D$4,$V171-4,0)&amp;"")</f>
        <v>CHINA</v>
      </c>
      <c r="F171" s="217" t="str">
        <f ca="1">IF(ISERROR($V171),"",OFFSET('Smelter Look-up'!$E$4,$V171-4,0))</f>
        <v>CID000914</v>
      </c>
      <c r="G171" s="217" t="str">
        <f ca="1">IF(C171=$X$4,"Enter smelter details",IF(ISERROR($V171),"",OFFSET('Smelter Look-up'!$F$4,$V171-4,0)))</f>
        <v>RMI</v>
      </c>
      <c r="H171" s="218">
        <f ca="1">IF(ISERROR($V171),"",OFFSET('Smelter Look-up'!$G$4,$V171-4,0))</f>
        <v>0</v>
      </c>
      <c r="I171" s="219" t="str">
        <f ca="1">IF(ISERROR($V171),"",OFFSET('Smelter Look-up'!$H$4,$V171-4,0))</f>
        <v>Jiujiang</v>
      </c>
      <c r="J171" s="219" t="str">
        <f ca="1">IF(ISERROR($V171),"",OFFSET('Smelter Look-up'!$I$4,$V171-4,0))</f>
        <v>Jiangxi Sheng</v>
      </c>
      <c r="K171" s="273"/>
      <c r="L171" s="273"/>
      <c r="M171" s="273"/>
      <c r="N171" s="273"/>
      <c r="O171" s="273"/>
      <c r="P171" s="220"/>
      <c r="Q171" s="274"/>
      <c r="R171" s="217" t="str">
        <f ca="1">IF(ISERROR($V171),"",OFFSET('Smelter Look-up'!$C$4,$V171-4,0)&amp;"")</f>
        <v>JiuJiang JinXin Nonferrous Metals Co., Ltd.</v>
      </c>
      <c r="S171" s="225" t="str">
        <f t="shared" ca="1" si="24"/>
        <v>CN</v>
      </c>
      <c r="T171" s="225" t="str">
        <f ca="1">IF(B171="","",IF(ISERROR(MATCH($J171,SorP!$B$1:$B$6230,0)),"",INDIRECT("'SorP'!$A$"&amp;MATCH($J171,SorP!$B$1:$B$6230,0))))</f>
        <v>CN-JX</v>
      </c>
      <c r="U171" s="241"/>
      <c r="V171" s="275">
        <f ca="1">IF(C171="",NA(),MATCH($B171&amp;$C171,'Smelter Look-up'!$J:$J,0))</f>
        <v>316</v>
      </c>
      <c r="W171" s="276"/>
      <c r="X171" s="276">
        <f t="shared" ca="1" si="25"/>
        <v>0</v>
      </c>
      <c r="Y171" s="276"/>
      <c r="Z171" s="276"/>
      <c r="AB171" s="278" t="str">
        <f t="shared" ca="1" si="26"/>
        <v>TantalumJiuJiang JinXin Nonferrous Metals Co., Ltd.</v>
      </c>
    </row>
    <row r="172" spans="1:28" s="277" customFormat="1" ht="20.25">
      <c r="A172" s="450" t="s">
        <v>770</v>
      </c>
      <c r="B172" s="217" t="str">
        <f ca="1">IF(LEN(A172)=0,"",INDEX('Smelter Look-up'!$A:$A,MATCH($A172,'Smelter Look-up'!$E:$E,0)))</f>
        <v>Tantalum</v>
      </c>
      <c r="C172" s="221" t="str">
        <f ca="1">IF(LEN(A172)=0,"",INDEX('Smelter Look-up'!$C:$C,MATCH($A172,'Smelter Look-up'!$E:$E,0)))</f>
        <v>Jiujiang Tanbre Co., Ltd.</v>
      </c>
      <c r="D172" s="283"/>
      <c r="E172" s="217" t="str">
        <f ca="1">IF(ISERROR($V172),"",OFFSET('Smelter Look-up'!$D$4,$V172-4,0)&amp;"")</f>
        <v>CHINA</v>
      </c>
      <c r="F172" s="217" t="str">
        <f ca="1">IF(ISERROR($V172),"",OFFSET('Smelter Look-up'!$E$4,$V172-4,0))</f>
        <v>CID000917</v>
      </c>
      <c r="G172" s="217" t="str">
        <f ca="1">IF(C172=$X$4,"Enter smelter details",IF(ISERROR($V172),"",OFFSET('Smelter Look-up'!$F$4,$V172-4,0)))</f>
        <v>RMI</v>
      </c>
      <c r="H172" s="218">
        <f ca="1">IF(ISERROR($V172),"",OFFSET('Smelter Look-up'!$G$4,$V172-4,0))</f>
        <v>0</v>
      </c>
      <c r="I172" s="219" t="str">
        <f ca="1">IF(ISERROR($V172),"",OFFSET('Smelter Look-up'!$H$4,$V172-4,0))</f>
        <v>Jiujiang</v>
      </c>
      <c r="J172" s="219" t="str">
        <f ca="1">IF(ISERROR($V172),"",OFFSET('Smelter Look-up'!$I$4,$V172-4,0))</f>
        <v>Jiangxi Sheng</v>
      </c>
      <c r="K172" s="273"/>
      <c r="L172" s="273"/>
      <c r="M172" s="273"/>
      <c r="N172" s="273"/>
      <c r="O172" s="273"/>
      <c r="P172" s="220"/>
      <c r="Q172" s="274"/>
      <c r="R172" s="217" t="str">
        <f ca="1">IF(ISERROR($V172),"",OFFSET('Smelter Look-up'!$C$4,$V172-4,0)&amp;"")</f>
        <v>Jiujiang Tanbre Co., Ltd.</v>
      </c>
      <c r="S172" s="225" t="str">
        <f t="shared" ca="1" si="24"/>
        <v>CN</v>
      </c>
      <c r="T172" s="225" t="str">
        <f ca="1">IF(B172="","",IF(ISERROR(MATCH($J172,SorP!$B$1:$B$6230,0)),"",INDIRECT("'SorP'!$A$"&amp;MATCH($J172,SorP!$B$1:$B$6230,0))))</f>
        <v>CN-JX</v>
      </c>
      <c r="U172" s="241"/>
      <c r="V172" s="275">
        <f ca="1">IF(C172="",NA(),MATCH($B172&amp;$C172,'Smelter Look-up'!$J:$J,0))</f>
        <v>318</v>
      </c>
      <c r="W172" s="276"/>
      <c r="X172" s="276">
        <f t="shared" ca="1" si="25"/>
        <v>0</v>
      </c>
      <c r="Y172" s="276"/>
      <c r="Z172" s="276"/>
      <c r="AB172" s="278" t="str">
        <f t="shared" ca="1" si="26"/>
        <v>TantalumJiujiang Tanbre Co., Ltd.</v>
      </c>
    </row>
    <row r="173" spans="1:28" s="277" customFormat="1" ht="20.25">
      <c r="A173" s="450" t="s">
        <v>1422</v>
      </c>
      <c r="B173" s="217" t="str">
        <f ca="1">IF(LEN(A173)=0,"",INDEX('Smelter Look-up'!$A:$A,MATCH($A173,'Smelter Look-up'!$E:$E,0)))</f>
        <v>Tantalum</v>
      </c>
      <c r="C173" s="221" t="str">
        <f ca="1">IF(LEN(A173)=0,"",INDEX('Smelter Look-up'!$C:$C,MATCH($A173,'Smelter Look-up'!$E:$E,0)))</f>
        <v>Jiujiang Zhongao Tantalum &amp; Niobium Co., Ltd.</v>
      </c>
      <c r="D173" s="283"/>
      <c r="E173" s="217" t="str">
        <f ca="1">IF(ISERROR($V173),"",OFFSET('Smelter Look-up'!$D$4,$V173-4,0)&amp;"")</f>
        <v>CHINA</v>
      </c>
      <c r="F173" s="217" t="str">
        <f ca="1">IF(ISERROR($V173),"",OFFSET('Smelter Look-up'!$E$4,$V173-4,0))</f>
        <v>CID002506</v>
      </c>
      <c r="G173" s="217" t="str">
        <f ca="1">IF(C173=$X$4,"Enter smelter details",IF(ISERROR($V173),"",OFFSET('Smelter Look-up'!$F$4,$V173-4,0)))</f>
        <v>RMI</v>
      </c>
      <c r="H173" s="218">
        <f ca="1">IF(ISERROR($V173),"",OFFSET('Smelter Look-up'!$G$4,$V173-4,0))</f>
        <v>0</v>
      </c>
      <c r="I173" s="219" t="str">
        <f ca="1">IF(ISERROR($V173),"",OFFSET('Smelter Look-up'!$H$4,$V173-4,0))</f>
        <v>Jiujiang</v>
      </c>
      <c r="J173" s="219" t="str">
        <f ca="1">IF(ISERROR($V173),"",OFFSET('Smelter Look-up'!$I$4,$V173-4,0))</f>
        <v>Jiangxi Sheng</v>
      </c>
      <c r="K173" s="273"/>
      <c r="L173" s="273"/>
      <c r="M173" s="273"/>
      <c r="N173" s="273"/>
      <c r="O173" s="273"/>
      <c r="P173" s="220"/>
      <c r="Q173" s="274"/>
      <c r="R173" s="217" t="str">
        <f ca="1">IF(ISERROR($V173),"",OFFSET('Smelter Look-up'!$C$4,$V173-4,0)&amp;"")</f>
        <v>Jiujiang Zhongao Tantalum &amp; Niobium Co., Ltd.</v>
      </c>
      <c r="S173" s="225" t="str">
        <f t="shared" ca="1" si="24"/>
        <v>CN</v>
      </c>
      <c r="T173" s="225" t="str">
        <f ca="1">IF(B173="","",IF(ISERROR(MATCH($J173,SorP!$B$1:$B$6230,0)),"",INDIRECT("'SorP'!$A$"&amp;MATCH($J173,SorP!$B$1:$B$6230,0))))</f>
        <v>CN-JX</v>
      </c>
      <c r="U173" s="241"/>
      <c r="V173" s="275">
        <f ca="1">IF(C173="",NA(),MATCH($B173&amp;$C173,'Smelter Look-up'!$J:$J,0))</f>
        <v>319</v>
      </c>
      <c r="W173" s="276"/>
      <c r="X173" s="276">
        <f t="shared" ca="1" si="25"/>
        <v>0</v>
      </c>
      <c r="Y173" s="276"/>
      <c r="Z173" s="276"/>
      <c r="AB173" s="278" t="str">
        <f t="shared" ca="1" si="26"/>
        <v>TantalumJiujiang Zhongao Tantalum &amp; Niobium Co., Ltd.</v>
      </c>
    </row>
    <row r="174" spans="1:28" s="277" customFormat="1" ht="20.25">
      <c r="A174" s="450" t="s">
        <v>1449</v>
      </c>
      <c r="B174" s="217" t="str">
        <f ca="1">IF(LEN(A174)=0,"",INDEX('Smelter Look-up'!$A:$A,MATCH($A174,'Smelter Look-up'!$E:$E,0)))</f>
        <v>Tantalum</v>
      </c>
      <c r="C174" s="221" t="str">
        <f ca="1">IF(LEN(A174)=0,"",INDEX('Smelter Look-up'!$C:$C,MATCH($A174,'Smelter Look-up'!$E:$E,0)))</f>
        <v>KEMET Blue Metals</v>
      </c>
      <c r="D174" s="283"/>
      <c r="E174" s="217" t="str">
        <f ca="1">IF(ISERROR($V174),"",OFFSET('Smelter Look-up'!$D$4,$V174-4,0)&amp;"")</f>
        <v>MEXICO</v>
      </c>
      <c r="F174" s="217" t="str">
        <f ca="1">IF(ISERROR($V174),"",OFFSET('Smelter Look-up'!$E$4,$V174-4,0))</f>
        <v>CID002539</v>
      </c>
      <c r="G174" s="217" t="str">
        <f ca="1">IF(C174=$X$4,"Enter smelter details",IF(ISERROR($V174),"",OFFSET('Smelter Look-up'!$F$4,$V174-4,0)))</f>
        <v>RMI</v>
      </c>
      <c r="H174" s="218">
        <f ca="1">IF(ISERROR($V174),"",OFFSET('Smelter Look-up'!$G$4,$V174-4,0))</f>
        <v>0</v>
      </c>
      <c r="I174" s="219" t="str">
        <f ca="1">IF(ISERROR($V174),"",OFFSET('Smelter Look-up'!$H$4,$V174-4,0))</f>
        <v>Matamoros</v>
      </c>
      <c r="J174" s="219" t="str">
        <f ca="1">IF(ISERROR($V174),"",OFFSET('Smelter Look-up'!$I$4,$V174-4,0))</f>
        <v>Tamaulipas</v>
      </c>
      <c r="K174" s="273"/>
      <c r="L174" s="273"/>
      <c r="M174" s="273"/>
      <c r="N174" s="273"/>
      <c r="O174" s="273"/>
      <c r="P174" s="220"/>
      <c r="Q174" s="274"/>
      <c r="R174" s="217" t="str">
        <f ca="1">IF(ISERROR($V174),"",OFFSET('Smelter Look-up'!$C$4,$V174-4,0)&amp;"")</f>
        <v>KEMET Blue Metals</v>
      </c>
      <c r="S174" s="225" t="str">
        <f t="shared" ca="1" si="24"/>
        <v>MX</v>
      </c>
      <c r="T174" s="225" t="str">
        <f ca="1">IF(B174="","",IF(ISERROR(MATCH($J174,SorP!$B$1:$B$6230,0)),"",INDIRECT("'SorP'!$A$"&amp;MATCH($J174,SorP!$B$1:$B$6230,0))))</f>
        <v>MX-TAM</v>
      </c>
      <c r="U174" s="241"/>
      <c r="V174" s="275">
        <f ca="1">IF(C174="",NA(),MATCH($B174&amp;$C174,'Smelter Look-up'!$J:$J,0))</f>
        <v>320</v>
      </c>
      <c r="W174" s="276"/>
      <c r="X174" s="276">
        <f t="shared" ca="1" si="25"/>
        <v>0</v>
      </c>
      <c r="Y174" s="276"/>
      <c r="Z174" s="276"/>
      <c r="AB174" s="278" t="str">
        <f t="shared" ca="1" si="26"/>
        <v>TantalumKEMET Blue Metals</v>
      </c>
    </row>
    <row r="175" spans="1:28" s="277" customFormat="1" ht="20.25">
      <c r="A175" s="450" t="s">
        <v>15512</v>
      </c>
      <c r="B175" s="217" t="e">
        <f ca="1">IF(LEN(A175)=0,"",INDEX('Smelter Look-up'!$A:$A,MATCH($A175,'Smelter Look-up'!$E:$E,0)))</f>
        <v>#N/A</v>
      </c>
      <c r="C175" s="221" t="e">
        <f ca="1">IF(LEN(A175)=0,"",INDEX('Smelter Look-up'!$C:$C,MATCH($A175,'Smelter Look-up'!$E:$E,0)))</f>
        <v>#N/A</v>
      </c>
      <c r="D175" s="283"/>
      <c r="E175" s="217" t="str">
        <f ca="1">IF(ISERROR($V175),"",OFFSET('Smelter Look-up'!$D$4,$V175-4,0)&amp;"")</f>
        <v/>
      </c>
      <c r="F175" s="217" t="str">
        <f ca="1">IF(ISERROR($V175),"",OFFSET('Smelter Look-up'!$E$4,$V175-4,0))</f>
        <v/>
      </c>
      <c r="G175" s="217" t="e">
        <f ca="1">IF(C175=$X$4,"Enter smelter details",IF(ISERROR($V175),"",OFFSET('Smelter Look-up'!$F$4,$V175-4,0)))</f>
        <v>#N/A</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e">
        <f t="shared" ca="1" si="24"/>
        <v>#N/A</v>
      </c>
      <c r="T175" s="225" t="e">
        <f ca="1">IF(B175="","",IF(ISERROR(MATCH($J175,SorP!$B$1:$B$6230,0)),"",INDIRECT("'SorP'!$A$"&amp;MATCH($J175,SorP!$B$1:$B$6230,0))))</f>
        <v>#N/A</v>
      </c>
      <c r="U175" s="241"/>
      <c r="V175" s="275" t="e">
        <f ca="1">IF(C175="",NA(),MATCH($B175&amp;$C175,'Smelter Look-up'!$J:$J,0))</f>
        <v>#N/A</v>
      </c>
      <c r="W175" s="276"/>
      <c r="X175" s="276" t="e">
        <f t="shared" ca="1" si="25"/>
        <v>#N/A</v>
      </c>
      <c r="Y175" s="276"/>
      <c r="Z175" s="276"/>
      <c r="AB175" s="278" t="e">
        <f t="shared" ca="1" si="26"/>
        <v>#N/A</v>
      </c>
    </row>
    <row r="176" spans="1:28" s="277" customFormat="1" ht="20.25">
      <c r="A176" s="450" t="s">
        <v>771</v>
      </c>
      <c r="B176" s="217" t="str">
        <f ca="1">IF(LEN(A176)=0,"",INDEX('Smelter Look-up'!$A:$A,MATCH($A176,'Smelter Look-up'!$E:$E,0)))</f>
        <v>Tantalum</v>
      </c>
      <c r="C176" s="221" t="str">
        <f ca="1">IF(LEN(A176)=0,"",INDEX('Smelter Look-up'!$C:$C,MATCH($A176,'Smelter Look-up'!$E:$E,0)))</f>
        <v>LSM Brasil S.A.</v>
      </c>
      <c r="D176" s="283"/>
      <c r="E176" s="217" t="str">
        <f ca="1">IF(ISERROR($V176),"",OFFSET('Smelter Look-up'!$D$4,$V176-4,0)&amp;"")</f>
        <v>BRAZIL</v>
      </c>
      <c r="F176" s="217" t="str">
        <f ca="1">IF(ISERROR($V176),"",OFFSET('Smelter Look-up'!$E$4,$V176-4,0))</f>
        <v>CID001076</v>
      </c>
      <c r="G176" s="217" t="str">
        <f ca="1">IF(C176=$X$4,"Enter smelter details",IF(ISERROR($V176),"",OFFSET('Smelter Look-up'!$F$4,$V176-4,0)))</f>
        <v>RMI</v>
      </c>
      <c r="H176" s="218">
        <f ca="1">IF(ISERROR($V176),"",OFFSET('Smelter Look-up'!$G$4,$V176-4,0))</f>
        <v>0</v>
      </c>
      <c r="I176" s="219" t="str">
        <f ca="1">IF(ISERROR($V176),"",OFFSET('Smelter Look-up'!$H$4,$V176-4,0))</f>
        <v>São João del Rei</v>
      </c>
      <c r="J176" s="219" t="str">
        <f ca="1">IF(ISERROR($V176),"",OFFSET('Smelter Look-up'!$I$4,$V176-4,0))</f>
        <v>Minas Gerais</v>
      </c>
      <c r="K176" s="273"/>
      <c r="L176" s="273"/>
      <c r="M176" s="273"/>
      <c r="N176" s="273"/>
      <c r="O176" s="273"/>
      <c r="P176" s="220"/>
      <c r="Q176" s="274"/>
      <c r="R176" s="217" t="str">
        <f ca="1">IF(ISERROR($V176),"",OFFSET('Smelter Look-up'!$C$4,$V176-4,0)&amp;"")</f>
        <v>LSM Brasil S.A.</v>
      </c>
      <c r="S176" s="225" t="str">
        <f t="shared" ca="1" si="24"/>
        <v>BR</v>
      </c>
      <c r="T176" s="225" t="str">
        <f ca="1">IF(B176="","",IF(ISERROR(MATCH($J176,SorP!$B$1:$B$6230,0)),"",INDIRECT("'SorP'!$A$"&amp;MATCH($J176,SorP!$B$1:$B$6230,0))))</f>
        <v>BR-MG</v>
      </c>
      <c r="U176" s="241"/>
      <c r="V176" s="275">
        <f ca="1">IF(C176="",NA(),MATCH($B176&amp;$C176,'Smelter Look-up'!$J:$J,0))</f>
        <v>321</v>
      </c>
      <c r="W176" s="276"/>
      <c r="X176" s="276">
        <f t="shared" ca="1" si="25"/>
        <v>0</v>
      </c>
      <c r="Y176" s="276"/>
      <c r="Z176" s="276"/>
      <c r="AB176" s="278" t="str">
        <f t="shared" ca="1" si="26"/>
        <v>TantalumLSM Brasil S.A.</v>
      </c>
    </row>
    <row r="177" spans="1:28" s="277" customFormat="1" ht="20.25">
      <c r="A177" s="450" t="s">
        <v>772</v>
      </c>
      <c r="B177" s="217" t="str">
        <f ca="1">IF(LEN(A177)=0,"",INDEX('Smelter Look-up'!$A:$A,MATCH($A177,'Smelter Look-up'!$E:$E,0)))</f>
        <v>Tantalum</v>
      </c>
      <c r="C177" s="221" t="str">
        <f ca="1">IF(LEN(A177)=0,"",INDEX('Smelter Look-up'!$C:$C,MATCH($A177,'Smelter Look-up'!$E:$E,0)))</f>
        <v>Metallurgical Products India Pvt., Ltd.</v>
      </c>
      <c r="D177" s="283"/>
      <c r="E177" s="217" t="str">
        <f ca="1">IF(ISERROR($V177),"",OFFSET('Smelter Look-up'!$D$4,$V177-4,0)&amp;"")</f>
        <v>INDIA</v>
      </c>
      <c r="F177" s="217" t="str">
        <f ca="1">IF(ISERROR($V177),"",OFFSET('Smelter Look-up'!$E$4,$V177-4,0))</f>
        <v>CID001163</v>
      </c>
      <c r="G177" s="217" t="str">
        <f ca="1">IF(C177=$X$4,"Enter smelter details",IF(ISERROR($V177),"",OFFSET('Smelter Look-up'!$F$4,$V177-4,0)))</f>
        <v>RMI</v>
      </c>
      <c r="H177" s="218">
        <f ca="1">IF(ISERROR($V177),"",OFFSET('Smelter Look-up'!$G$4,$V177-4,0))</f>
        <v>0</v>
      </c>
      <c r="I177" s="219" t="str">
        <f ca="1">IF(ISERROR($V177),"",OFFSET('Smelter Look-up'!$H$4,$V177-4,0))</f>
        <v>District Raigad</v>
      </c>
      <c r="J177" s="219" t="str">
        <f ca="1">IF(ISERROR($V177),"",OFFSET('Smelter Look-up'!$I$4,$V177-4,0))</f>
        <v>Maharashtra</v>
      </c>
      <c r="K177" s="273"/>
      <c r="L177" s="273"/>
      <c r="M177" s="273"/>
      <c r="N177" s="273"/>
      <c r="O177" s="273"/>
      <c r="P177" s="220"/>
      <c r="Q177" s="274"/>
      <c r="R177" s="217" t="str">
        <f ca="1">IF(ISERROR($V177),"",OFFSET('Smelter Look-up'!$C$4,$V177-4,0)&amp;"")</f>
        <v>Metallurgical Products India Pvt., Ltd.</v>
      </c>
      <c r="S177" s="225" t="str">
        <f t="shared" ca="1" si="24"/>
        <v>IN</v>
      </c>
      <c r="T177" s="225" t="str">
        <f ca="1">IF(B177="","",IF(ISERROR(MATCH($J177,SorP!$B$1:$B$6230,0)),"",INDIRECT("'SorP'!$A$"&amp;MATCH($J177,SorP!$B$1:$B$6230,0))))</f>
        <v>IN-MH</v>
      </c>
      <c r="U177" s="241"/>
      <c r="V177" s="275">
        <f ca="1">IF(C177="",NA(),MATCH($B177&amp;$C177,'Smelter Look-up'!$J:$J,0))</f>
        <v>323</v>
      </c>
      <c r="W177" s="276"/>
      <c r="X177" s="276">
        <f t="shared" ca="1" si="25"/>
        <v>0</v>
      </c>
      <c r="Y177" s="276"/>
      <c r="Z177" s="276"/>
      <c r="AB177" s="278" t="str">
        <f t="shared" ca="1" si="26"/>
        <v>TantalumMetallurgical Products India Pvt., Ltd.</v>
      </c>
    </row>
    <row r="178" spans="1:28" s="277" customFormat="1" ht="20.25">
      <c r="A178" s="450" t="s">
        <v>773</v>
      </c>
      <c r="B178" s="217" t="str">
        <f ca="1">IF(LEN(A178)=0,"",INDEX('Smelter Look-up'!$A:$A,MATCH($A178,'Smelter Look-up'!$E:$E,0)))</f>
        <v>Tantalum</v>
      </c>
      <c r="C178" s="221" t="str">
        <f ca="1">IF(LEN(A178)=0,"",INDEX('Smelter Look-up'!$C:$C,MATCH($A178,'Smelter Look-up'!$E:$E,0)))</f>
        <v>Mineracao Taboca S.A.</v>
      </c>
      <c r="D178" s="283"/>
      <c r="E178" s="217" t="str">
        <f ca="1">IF(ISERROR($V178),"",OFFSET('Smelter Look-up'!$D$4,$V178-4,0)&amp;"")</f>
        <v>BRAZIL</v>
      </c>
      <c r="F178" s="217" t="str">
        <f ca="1">IF(ISERROR($V178),"",OFFSET('Smelter Look-up'!$E$4,$V178-4,0))</f>
        <v>CID001175</v>
      </c>
      <c r="G178" s="217" t="str">
        <f ca="1">IF(C178=$X$4,"Enter smelter details",IF(ISERROR($V178),"",OFFSET('Smelter Look-up'!$F$4,$V178-4,0)))</f>
        <v>RMI</v>
      </c>
      <c r="H178" s="218">
        <f ca="1">IF(ISERROR($V178),"",OFFSET('Smelter Look-up'!$G$4,$V178-4,0))</f>
        <v>0</v>
      </c>
      <c r="I178" s="219" t="str">
        <f ca="1">IF(ISERROR($V178),"",OFFSET('Smelter Look-up'!$H$4,$V178-4,0))</f>
        <v>Presidente Figueiredo</v>
      </c>
      <c r="J178" s="219" t="str">
        <f ca="1">IF(ISERROR($V178),"",OFFSET('Smelter Look-up'!$I$4,$V178-4,0))</f>
        <v>Amazonas</v>
      </c>
      <c r="K178" s="273"/>
      <c r="L178" s="273"/>
      <c r="M178" s="273"/>
      <c r="N178" s="273"/>
      <c r="O178" s="273"/>
      <c r="P178" s="220"/>
      <c r="Q178" s="274"/>
      <c r="R178" s="217" t="str">
        <f ca="1">IF(ISERROR($V178),"",OFFSET('Smelter Look-up'!$C$4,$V178-4,0)&amp;"")</f>
        <v>Mineracao Taboca S.A.</v>
      </c>
      <c r="S178" s="225" t="str">
        <f t="shared" ca="1" si="24"/>
        <v>BR</v>
      </c>
      <c r="T178" s="225" t="str">
        <f ca="1">IF(B178="","",IF(ISERROR(MATCH($J178,SorP!$B$1:$B$6230,0)),"",INDIRECT("'SorP'!$A$"&amp;MATCH($J178,SorP!$B$1:$B$6230,0))))</f>
        <v>BR-AM</v>
      </c>
      <c r="U178" s="241"/>
      <c r="V178" s="275">
        <f ca="1">IF(C178="",NA(),MATCH($B178&amp;$C178,'Smelter Look-up'!$J:$J,0))</f>
        <v>324</v>
      </c>
      <c r="W178" s="276"/>
      <c r="X178" s="276">
        <f t="shared" ca="1" si="25"/>
        <v>0</v>
      </c>
      <c r="Y178" s="276"/>
      <c r="Z178" s="276"/>
      <c r="AB178" s="278" t="str">
        <f t="shared" ca="1" si="26"/>
        <v>TantalumMineracao Taboca S.A.</v>
      </c>
    </row>
    <row r="179" spans="1:28" s="277" customFormat="1" ht="20.25">
      <c r="A179" s="450" t="s">
        <v>774</v>
      </c>
      <c r="B179" s="217" t="str">
        <f ca="1">IF(LEN(A179)=0,"",INDEX('Smelter Look-up'!$A:$A,MATCH($A179,'Smelter Look-up'!$E:$E,0)))</f>
        <v>Tantalum</v>
      </c>
      <c r="C179" s="221" t="str">
        <f ca="1">IF(LEN(A179)=0,"",INDEX('Smelter Look-up'!$C:$C,MATCH($A179,'Smelter Look-up'!$E:$E,0)))</f>
        <v>Mitsui Mining and Smelting Co., Ltd.</v>
      </c>
      <c r="D179" s="283"/>
      <c r="E179" s="217" t="str">
        <f ca="1">IF(ISERROR($V179),"",OFFSET('Smelter Look-up'!$D$4,$V179-4,0)&amp;"")</f>
        <v>JAPAN</v>
      </c>
      <c r="F179" s="217" t="str">
        <f ca="1">IF(ISERROR($V179),"",OFFSET('Smelter Look-up'!$E$4,$V179-4,0))</f>
        <v>CID001192</v>
      </c>
      <c r="G179" s="217" t="str">
        <f ca="1">IF(C179=$X$4,"Enter smelter details",IF(ISERROR($V179),"",OFFSET('Smelter Look-up'!$F$4,$V179-4,0)))</f>
        <v>RMI</v>
      </c>
      <c r="H179" s="218">
        <f ca="1">IF(ISERROR($V179),"",OFFSET('Smelter Look-up'!$G$4,$V179-4,0))</f>
        <v>0</v>
      </c>
      <c r="I179" s="219" t="str">
        <f ca="1">IF(ISERROR($V179),"",OFFSET('Smelter Look-up'!$H$4,$V179-4,0))</f>
        <v>Omuta</v>
      </c>
      <c r="J179" s="219" t="str">
        <f ca="1">IF(ISERROR($V179),"",OFFSET('Smelter Look-up'!$I$4,$V179-4,0))</f>
        <v>Fukuoka</v>
      </c>
      <c r="K179" s="273"/>
      <c r="L179" s="273"/>
      <c r="M179" s="273"/>
      <c r="N179" s="273"/>
      <c r="O179" s="273"/>
      <c r="P179" s="220"/>
      <c r="Q179" s="274"/>
      <c r="R179" s="217" t="str">
        <f ca="1">IF(ISERROR($V179),"",OFFSET('Smelter Look-up'!$C$4,$V179-4,0)&amp;"")</f>
        <v>Mitsui Mining and Smelting Co., Ltd.</v>
      </c>
      <c r="S179" s="225" t="str">
        <f t="shared" ca="1" si="24"/>
        <v>JP</v>
      </c>
      <c r="T179" s="225" t="str">
        <f ca="1">IF(B179="","",IF(ISERROR(MATCH($J179,SorP!$B$1:$B$6230,0)),"",INDIRECT("'SorP'!$A$"&amp;MATCH($J179,SorP!$B$1:$B$6230,0))))</f>
        <v>JP-40</v>
      </c>
      <c r="U179" s="241"/>
      <c r="V179" s="275">
        <f ca="1">IF(C179="",NA(),MATCH($B179&amp;$C179,'Smelter Look-up'!$J:$J,0))</f>
        <v>328</v>
      </c>
      <c r="W179" s="276"/>
      <c r="X179" s="276">
        <f t="shared" ca="1" si="25"/>
        <v>0</v>
      </c>
      <c r="Y179" s="276"/>
      <c r="Z179" s="276"/>
      <c r="AB179" s="278" t="str">
        <f t="shared" ca="1" si="26"/>
        <v>TantalumMitsui Mining and Smelting Co., Ltd.</v>
      </c>
    </row>
    <row r="180" spans="1:28" s="277" customFormat="1" ht="20.25">
      <c r="A180" s="450" t="s">
        <v>776</v>
      </c>
      <c r="B180" s="217" t="str">
        <f ca="1">IF(LEN(A180)=0,"",INDEX('Smelter Look-up'!$A:$A,MATCH($A180,'Smelter Look-up'!$E:$E,0)))</f>
        <v>Tantalum</v>
      </c>
      <c r="C180" s="221" t="str">
        <f ca="1">IF(LEN(A180)=0,"",INDEX('Smelter Look-up'!$C:$C,MATCH($A180,'Smelter Look-up'!$E:$E,0)))</f>
        <v>Ningxia Orient Tantalum Industry Co., Ltd.</v>
      </c>
      <c r="D180" s="283"/>
      <c r="E180" s="217" t="str">
        <f ca="1">IF(ISERROR($V180),"",OFFSET('Smelter Look-up'!$D$4,$V180-4,0)&amp;"")</f>
        <v>CHINA</v>
      </c>
      <c r="F180" s="217" t="str">
        <f ca="1">IF(ISERROR($V180),"",OFFSET('Smelter Look-up'!$E$4,$V180-4,0))</f>
        <v>CID001277</v>
      </c>
      <c r="G180" s="217" t="str">
        <f ca="1">IF(C180=$X$4,"Enter smelter details",IF(ISERROR($V180),"",OFFSET('Smelter Look-up'!$F$4,$V180-4,0)))</f>
        <v>RMI</v>
      </c>
      <c r="H180" s="218">
        <f ca="1">IF(ISERROR($V180),"",OFFSET('Smelter Look-up'!$G$4,$V180-4,0))</f>
        <v>0</v>
      </c>
      <c r="I180" s="219" t="str">
        <f ca="1">IF(ISERROR($V180),"",OFFSET('Smelter Look-up'!$H$4,$V180-4,0))</f>
        <v>Shizuishan City</v>
      </c>
      <c r="J180" s="219" t="str">
        <f ca="1">IF(ISERROR($V180),"",OFFSET('Smelter Look-up'!$I$4,$V180-4,0))</f>
        <v>Ningxia Huizi Zizhiqu</v>
      </c>
      <c r="K180" s="273"/>
      <c r="L180" s="273"/>
      <c r="M180" s="273"/>
      <c r="N180" s="273"/>
      <c r="O180" s="273"/>
      <c r="P180" s="220"/>
      <c r="Q180" s="274"/>
      <c r="R180" s="217" t="str">
        <f ca="1">IF(ISERROR($V180),"",OFFSET('Smelter Look-up'!$C$4,$V180-4,0)&amp;"")</f>
        <v>Ningxia Orient Tantalum Industry Co., Ltd.</v>
      </c>
      <c r="S180" s="225" t="str">
        <f t="shared" ca="1" si="24"/>
        <v>CN</v>
      </c>
      <c r="T180" s="225" t="str">
        <f ca="1">IF(B180="","",IF(ISERROR(MATCH($J180,SorP!$B$1:$B$6230,0)),"",INDIRECT("'SorP'!$A$"&amp;MATCH($J180,SorP!$B$1:$B$6230,0))))</f>
        <v>CN-NX</v>
      </c>
      <c r="U180" s="241"/>
      <c r="V180" s="275">
        <f ca="1">IF(C180="",NA(),MATCH($B180&amp;$C180,'Smelter Look-up'!$J:$J,0))</f>
        <v>331</v>
      </c>
      <c r="W180" s="276"/>
      <c r="X180" s="276">
        <f t="shared" ca="1" si="25"/>
        <v>0</v>
      </c>
      <c r="Y180" s="276"/>
      <c r="Z180" s="276"/>
      <c r="AB180" s="278" t="str">
        <f t="shared" ca="1" si="26"/>
        <v>TantalumNingxia Orient Tantalum Industry Co., Ltd.</v>
      </c>
    </row>
    <row r="181" spans="1:28" s="277" customFormat="1" ht="20.25">
      <c r="A181" s="450" t="s">
        <v>2462</v>
      </c>
      <c r="B181" s="217" t="str">
        <f ca="1">IF(LEN(A181)=0,"",INDEX('Smelter Look-up'!$A:$A,MATCH($A181,'Smelter Look-up'!$E:$E,0)))</f>
        <v>Tantalum</v>
      </c>
      <c r="C181" s="221" t="str">
        <f ca="1">IF(LEN(A181)=0,"",INDEX('Smelter Look-up'!$C:$C,MATCH($A181,'Smelter Look-up'!$E:$E,0)))</f>
        <v>PRG Dooel</v>
      </c>
      <c r="D181" s="283"/>
      <c r="E181" s="217" t="str">
        <f ca="1">IF(ISERROR($V181),"",OFFSET('Smelter Look-up'!$D$4,$V181-4,0)&amp;"")</f>
        <v>NORTH MACEDONIA</v>
      </c>
      <c r="F181" s="217" t="str">
        <f ca="1">IF(ISERROR($V181),"",OFFSET('Smelter Look-up'!$E$4,$V181-4,0))</f>
        <v>CID002847</v>
      </c>
      <c r="G181" s="217" t="str">
        <f ca="1">IF(C181=$X$4,"Enter smelter details",IF(ISERROR($V181),"",OFFSET('Smelter Look-up'!$F$4,$V181-4,0)))</f>
        <v>RMI</v>
      </c>
      <c r="H181" s="218">
        <f ca="1">IF(ISERROR($V181),"",OFFSET('Smelter Look-up'!$G$4,$V181-4,0))</f>
        <v>0</v>
      </c>
      <c r="I181" s="219" t="str">
        <f ca="1">IF(ISERROR($V181),"",OFFSET('Smelter Look-up'!$H$4,$V181-4,0))</f>
        <v>Skopje</v>
      </c>
      <c r="J181" s="219" t="str">
        <f ca="1">IF(ISERROR($V181),"",OFFSET('Smelter Look-up'!$I$4,$V181-4,0))</f>
        <v>Skopje</v>
      </c>
      <c r="K181" s="273"/>
      <c r="L181" s="273"/>
      <c r="M181" s="273"/>
      <c r="N181" s="273"/>
      <c r="O181" s="273"/>
      <c r="P181" s="220"/>
      <c r="Q181" s="274"/>
      <c r="R181" s="217" t="str">
        <f ca="1">IF(ISERROR($V181),"",OFFSET('Smelter Look-up'!$C$4,$V181-4,0)&amp;"")</f>
        <v>PRG Dooel</v>
      </c>
      <c r="S181" s="225" t="str">
        <f t="shared" ca="1" si="24"/>
        <v>MK</v>
      </c>
      <c r="T181" s="225" t="str">
        <f ca="1">IF(B181="","",IF(ISERROR(MATCH($J181,SorP!$B$1:$B$6230,0)),"",INDIRECT("'SorP'!$A$"&amp;MATCH($J181,SorP!$B$1:$B$6230,0))))</f>
        <v>MK-85</v>
      </c>
      <c r="U181" s="241"/>
      <c r="V181" s="275">
        <f ca="1">IF(C181="",NA(),MATCH($B181&amp;$C181,'Smelter Look-up'!$J:$J,0))</f>
        <v>335</v>
      </c>
      <c r="W181" s="276"/>
      <c r="X181" s="276">
        <f t="shared" ca="1" si="25"/>
        <v>0</v>
      </c>
      <c r="Y181" s="276"/>
      <c r="Z181" s="276"/>
      <c r="AB181" s="278" t="str">
        <f t="shared" ca="1" si="26"/>
        <v>TantalumPRG Dooel</v>
      </c>
    </row>
    <row r="182" spans="1:28" s="277" customFormat="1" ht="20.25">
      <c r="A182" s="450" t="s">
        <v>777</v>
      </c>
      <c r="B182" s="217" t="str">
        <f ca="1">IF(LEN(A182)=0,"",INDEX('Smelter Look-up'!$A:$A,MATCH($A182,'Smelter Look-up'!$E:$E,0)))</f>
        <v>Tantalum</v>
      </c>
      <c r="C182" s="221" t="str">
        <f ca="1">IF(LEN(A182)=0,"",INDEX('Smelter Look-up'!$C:$C,MATCH($A182,'Smelter Look-up'!$E:$E,0)))</f>
        <v>QuantumClean</v>
      </c>
      <c r="D182" s="283"/>
      <c r="E182" s="217" t="str">
        <f ca="1">IF(ISERROR($V182),"",OFFSET('Smelter Look-up'!$D$4,$V182-4,0)&amp;"")</f>
        <v>UNITED STATES OF AMERICA</v>
      </c>
      <c r="F182" s="217" t="str">
        <f ca="1">IF(ISERROR($V182),"",OFFSET('Smelter Look-up'!$E$4,$V182-4,0))</f>
        <v>CID001508</v>
      </c>
      <c r="G182" s="217" t="str">
        <f ca="1">IF(C182=$X$4,"Enter smelter details",IF(ISERROR($V182),"",OFFSET('Smelter Look-up'!$F$4,$V182-4,0)))</f>
        <v>RMI</v>
      </c>
      <c r="H182" s="218">
        <f ca="1">IF(ISERROR($V182),"",OFFSET('Smelter Look-up'!$G$4,$V182-4,0))</f>
        <v>0</v>
      </c>
      <c r="I182" s="219" t="str">
        <f ca="1">IF(ISERROR($V182),"",OFFSET('Smelter Look-up'!$H$4,$V182-4,0))</f>
        <v>Carrollton</v>
      </c>
      <c r="J182" s="219" t="str">
        <f ca="1">IF(ISERROR($V182),"",OFFSET('Smelter Look-up'!$I$4,$V182-4,0))</f>
        <v>Texas</v>
      </c>
      <c r="K182" s="273"/>
      <c r="L182" s="273"/>
      <c r="M182" s="273"/>
      <c r="N182" s="273"/>
      <c r="O182" s="273"/>
      <c r="P182" s="220"/>
      <c r="Q182" s="274"/>
      <c r="R182" s="217" t="str">
        <f ca="1">IF(ISERROR($V182),"",OFFSET('Smelter Look-up'!$C$4,$V182-4,0)&amp;"")</f>
        <v>QuantumClean</v>
      </c>
      <c r="S182" s="225" t="str">
        <f t="shared" ca="1" si="24"/>
        <v>US</v>
      </c>
      <c r="T182" s="225" t="str">
        <f ca="1">IF(B182="","",IF(ISERROR(MATCH($J182,SorP!$B$1:$B$6230,0)),"",INDIRECT("'SorP'!$A$"&amp;MATCH($J182,SorP!$B$1:$B$6230,0))))</f>
        <v>US-TX</v>
      </c>
      <c r="U182" s="241"/>
      <c r="V182" s="275">
        <f ca="1">IF(C182="",NA(),MATCH($B182&amp;$C182,'Smelter Look-up'!$J:$J,0))</f>
        <v>336</v>
      </c>
      <c r="W182" s="276"/>
      <c r="X182" s="276">
        <f t="shared" ca="1" si="25"/>
        <v>0</v>
      </c>
      <c r="Y182" s="276"/>
      <c r="Z182" s="276"/>
      <c r="AB182" s="278" t="str">
        <f t="shared" ca="1" si="26"/>
        <v>TantalumQuantumClean</v>
      </c>
    </row>
    <row r="183" spans="1:28" s="277" customFormat="1" ht="20.25">
      <c r="A183" s="450" t="s">
        <v>1795</v>
      </c>
      <c r="B183" s="217" t="str">
        <f ca="1">IF(LEN(A183)=0,"",INDEX('Smelter Look-up'!$A:$A,MATCH($A183,'Smelter Look-up'!$E:$E,0)))</f>
        <v>Tantalum</v>
      </c>
      <c r="C183" s="221" t="str">
        <f ca="1">IF(LEN(A183)=0,"",INDEX('Smelter Look-up'!$C:$C,MATCH($A183,'Smelter Look-up'!$E:$E,0)))</f>
        <v>Resind Industria e Comercio Ltda.</v>
      </c>
      <c r="D183" s="283"/>
      <c r="E183" s="217" t="str">
        <f ca="1">IF(ISERROR($V183),"",OFFSET('Smelter Look-up'!$D$4,$V183-4,0)&amp;"")</f>
        <v>BRAZIL</v>
      </c>
      <c r="F183" s="217" t="str">
        <f ca="1">IF(ISERROR($V183),"",OFFSET('Smelter Look-up'!$E$4,$V183-4,0))</f>
        <v>CID002707</v>
      </c>
      <c r="G183" s="217" t="str">
        <f ca="1">IF(C183=$X$4,"Enter smelter details",IF(ISERROR($V183),"",OFFSET('Smelter Look-up'!$F$4,$V183-4,0)))</f>
        <v>RMI</v>
      </c>
      <c r="H183" s="218">
        <f ca="1">IF(ISERROR($V183),"",OFFSET('Smelter Look-up'!$G$4,$V183-4,0))</f>
        <v>0</v>
      </c>
      <c r="I183" s="219" t="str">
        <f ca="1">IF(ISERROR($V183),"",OFFSET('Smelter Look-up'!$H$4,$V183-4,0))</f>
        <v>São João del Rei</v>
      </c>
      <c r="J183" s="219" t="str">
        <f ca="1">IF(ISERROR($V183),"",OFFSET('Smelter Look-up'!$I$4,$V183-4,0))</f>
        <v>Minas gerais</v>
      </c>
      <c r="K183" s="273"/>
      <c r="L183" s="273"/>
      <c r="M183" s="273"/>
      <c r="N183" s="273"/>
      <c r="O183" s="273"/>
      <c r="P183" s="220"/>
      <c r="Q183" s="274"/>
      <c r="R183" s="217" t="str">
        <f ca="1">IF(ISERROR($V183),"",OFFSET('Smelter Look-up'!$C$4,$V183-4,0)&amp;"")</f>
        <v>Resind Industria e Comercio Ltda.</v>
      </c>
      <c r="S183" s="225" t="str">
        <f t="shared" ca="1" si="24"/>
        <v>BR</v>
      </c>
      <c r="T183" s="225" t="str">
        <f ca="1">IF(B183="","",IF(ISERROR(MATCH($J183,SorP!$B$1:$B$6230,0)),"",INDIRECT("'SorP'!$A$"&amp;MATCH($J183,SorP!$B$1:$B$6230,0))))</f>
        <v>BR-MG</v>
      </c>
      <c r="U183" s="241"/>
      <c r="V183" s="275">
        <f ca="1">IF(C183="",NA(),MATCH($B183&amp;$C183,'Smelter Look-up'!$J:$J,0))</f>
        <v>338</v>
      </c>
      <c r="W183" s="276"/>
      <c r="X183" s="276">
        <f t="shared" ca="1" si="25"/>
        <v>0</v>
      </c>
      <c r="Y183" s="276"/>
      <c r="Z183" s="276"/>
      <c r="AB183" s="278" t="str">
        <f t="shared" ca="1" si="26"/>
        <v>TantalumResind Industria e Comercio Ltda.</v>
      </c>
    </row>
    <row r="184" spans="1:28" s="277" customFormat="1" ht="20.25">
      <c r="A184" s="450" t="s">
        <v>779</v>
      </c>
      <c r="B184" s="217" t="str">
        <f ca="1">IF(LEN(A184)=0,"",INDEX('Smelter Look-up'!$A:$A,MATCH($A184,'Smelter Look-up'!$E:$E,0)))</f>
        <v>Tantalum</v>
      </c>
      <c r="C184" s="221" t="str">
        <f ca="1">IF(LEN(A184)=0,"",INDEX('Smelter Look-up'!$C:$C,MATCH($A184,'Smelter Look-up'!$E:$E,0)))</f>
        <v>Solikamsk Magnesium Works OAO</v>
      </c>
      <c r="D184" s="283"/>
      <c r="E184" s="217" t="str">
        <f ca="1">IF(ISERROR($V184),"",OFFSET('Smelter Look-up'!$D$4,$V184-4,0)&amp;"")</f>
        <v>RUSSIAN FEDERATION</v>
      </c>
      <c r="F184" s="217" t="str">
        <f ca="1">IF(ISERROR($V184),"",OFFSET('Smelter Look-up'!$E$4,$V184-4,0))</f>
        <v>CID001769</v>
      </c>
      <c r="G184" s="217" t="str">
        <f ca="1">IF(C184=$X$4,"Enter smelter details",IF(ISERROR($V184),"",OFFSET('Smelter Look-up'!$F$4,$V184-4,0)))</f>
        <v>RMI</v>
      </c>
      <c r="H184" s="218">
        <f ca="1">IF(ISERROR($V184),"",OFFSET('Smelter Look-up'!$G$4,$V184-4,0))</f>
        <v>0</v>
      </c>
      <c r="I184" s="219" t="str">
        <f ca="1">IF(ISERROR($V184),"",OFFSET('Smelter Look-up'!$H$4,$V184-4,0))</f>
        <v>Solikamsk</v>
      </c>
      <c r="J184" s="219" t="str">
        <f ca="1">IF(ISERROR($V184),"",OFFSET('Smelter Look-up'!$I$4,$V184-4,0))</f>
        <v>Permskiy kray</v>
      </c>
      <c r="K184" s="273"/>
      <c r="L184" s="273"/>
      <c r="M184" s="273"/>
      <c r="N184" s="273"/>
      <c r="O184" s="273"/>
      <c r="P184" s="220"/>
      <c r="Q184" s="274"/>
      <c r="R184" s="217" t="str">
        <f ca="1">IF(ISERROR($V184),"",OFFSET('Smelter Look-up'!$C$4,$V184-4,0)&amp;"")</f>
        <v>Solikamsk Magnesium Works OAO</v>
      </c>
      <c r="S184" s="225" t="str">
        <f t="shared" ca="1" si="24"/>
        <v>RU</v>
      </c>
      <c r="T184" s="225" t="str">
        <f ca="1">IF(B184="","",IF(ISERROR(MATCH($J184,SorP!$B$1:$B$6230,0)),"",INDIRECT("'SorP'!$A$"&amp;MATCH($J184,SorP!$B$1:$B$6230,0))))</f>
        <v>RU-PER</v>
      </c>
      <c r="U184" s="241"/>
      <c r="V184" s="275">
        <f ca="1">IF(C184="",NA(),MATCH($B184&amp;$C184,'Smelter Look-up'!$J:$J,0))</f>
        <v>343</v>
      </c>
      <c r="W184" s="276"/>
      <c r="X184" s="276">
        <f t="shared" ca="1" si="25"/>
        <v>0</v>
      </c>
      <c r="Y184" s="276"/>
      <c r="Z184" s="276"/>
      <c r="AB184" s="278" t="str">
        <f t="shared" ca="1" si="26"/>
        <v>TantalumSolikamsk Magnesium Works OAO</v>
      </c>
    </row>
    <row r="185" spans="1:28" s="277" customFormat="1" ht="20.25">
      <c r="A185" s="450" t="s">
        <v>780</v>
      </c>
      <c r="B185" s="217" t="str">
        <f ca="1">IF(LEN(A185)=0,"",INDEX('Smelter Look-up'!$A:$A,MATCH($A185,'Smelter Look-up'!$E:$E,0)))</f>
        <v>Tantalum</v>
      </c>
      <c r="C185" s="221" t="str">
        <f ca="1">IF(LEN(A185)=0,"",INDEX('Smelter Look-up'!$C:$C,MATCH($A185,'Smelter Look-up'!$E:$E,0)))</f>
        <v>Taki Chemical Co., Ltd.</v>
      </c>
      <c r="D185" s="283"/>
      <c r="E185" s="217" t="str">
        <f ca="1">IF(ISERROR($V185),"",OFFSET('Smelter Look-up'!$D$4,$V185-4,0)&amp;"")</f>
        <v>JAPAN</v>
      </c>
      <c r="F185" s="217" t="str">
        <f ca="1">IF(ISERROR($V185),"",OFFSET('Smelter Look-up'!$E$4,$V185-4,0))</f>
        <v>CID001869</v>
      </c>
      <c r="G185" s="217" t="str">
        <f ca="1">IF(C185=$X$4,"Enter smelter details",IF(ISERROR($V185),"",OFFSET('Smelter Look-up'!$F$4,$V185-4,0)))</f>
        <v>RMI</v>
      </c>
      <c r="H185" s="218">
        <f ca="1">IF(ISERROR($V185),"",OFFSET('Smelter Look-up'!$G$4,$V185-4,0))</f>
        <v>0</v>
      </c>
      <c r="I185" s="219" t="str">
        <f ca="1">IF(ISERROR($V185),"",OFFSET('Smelter Look-up'!$H$4,$V185-4,0))</f>
        <v>Harima</v>
      </c>
      <c r="J185" s="219" t="str">
        <f ca="1">IF(ISERROR($V185),"",OFFSET('Smelter Look-up'!$I$4,$V185-4,0))</f>
        <v>Hyogo</v>
      </c>
      <c r="K185" s="273"/>
      <c r="L185" s="273"/>
      <c r="M185" s="273"/>
      <c r="N185" s="273"/>
      <c r="O185" s="273"/>
      <c r="P185" s="220"/>
      <c r="Q185" s="274"/>
      <c r="R185" s="217" t="str">
        <f ca="1">IF(ISERROR($V185),"",OFFSET('Smelter Look-up'!$C$4,$V185-4,0)&amp;"")</f>
        <v>Taki Chemical Co., Ltd.</v>
      </c>
      <c r="S185" s="225" t="str">
        <f t="shared" ca="1" si="24"/>
        <v>JP</v>
      </c>
      <c r="T185" s="225" t="str">
        <f ca="1">IF(B185="","",IF(ISERROR(MATCH($J185,SorP!$B$1:$B$6230,0)),"",INDIRECT("'SorP'!$A$"&amp;MATCH($J185,SorP!$B$1:$B$6230,0))))</f>
        <v>JP-28</v>
      </c>
      <c r="U185" s="241"/>
      <c r="V185" s="275">
        <f ca="1">IF(C185="",NA(),MATCH($B185&amp;$C185,'Smelter Look-up'!$J:$J,0))</f>
        <v>345</v>
      </c>
      <c r="W185" s="276"/>
      <c r="X185" s="276">
        <f t="shared" ca="1" si="25"/>
        <v>0</v>
      </c>
      <c r="Y185" s="276"/>
      <c r="Z185" s="276"/>
      <c r="AB185" s="278" t="str">
        <f t="shared" ca="1" si="26"/>
        <v>TantalumTaki Chemical Co., Ltd.</v>
      </c>
    </row>
    <row r="186" spans="1:28" s="277" customFormat="1" ht="20.25">
      <c r="A186" s="450" t="s">
        <v>781</v>
      </c>
      <c r="B186" s="217" t="str">
        <f ca="1">IF(LEN(A186)=0,"",INDEX('Smelter Look-up'!$A:$A,MATCH($A186,'Smelter Look-up'!$E:$E,0)))</f>
        <v>Tantalum</v>
      </c>
      <c r="C186" s="221" t="str">
        <f ca="1">IF(LEN(A186)=0,"",INDEX('Smelter Look-up'!$C:$C,MATCH($A186,'Smelter Look-up'!$E:$E,0)))</f>
        <v>Telex Metals</v>
      </c>
      <c r="D186" s="283"/>
      <c r="E186" s="217" t="str">
        <f ca="1">IF(ISERROR($V186),"",OFFSET('Smelter Look-up'!$D$4,$V186-4,0)&amp;"")</f>
        <v>UNITED STATES OF AMERICA</v>
      </c>
      <c r="F186" s="217" t="str">
        <f ca="1">IF(ISERROR($V186),"",OFFSET('Smelter Look-up'!$E$4,$V186-4,0))</f>
        <v>CID001891</v>
      </c>
      <c r="G186" s="217" t="str">
        <f ca="1">IF(C186=$X$4,"Enter smelter details",IF(ISERROR($V186),"",OFFSET('Smelter Look-up'!$F$4,$V186-4,0)))</f>
        <v>RMI</v>
      </c>
      <c r="H186" s="218">
        <f ca="1">IF(ISERROR($V186),"",OFFSET('Smelter Look-up'!$G$4,$V186-4,0))</f>
        <v>0</v>
      </c>
      <c r="I186" s="219" t="str">
        <f ca="1">IF(ISERROR($V186),"",OFFSET('Smelter Look-up'!$H$4,$V186-4,0))</f>
        <v>Croydon</v>
      </c>
      <c r="J186" s="219" t="str">
        <f ca="1">IF(ISERROR($V186),"",OFFSET('Smelter Look-up'!$I$4,$V186-4,0))</f>
        <v>Pennsylvania</v>
      </c>
      <c r="K186" s="273"/>
      <c r="L186" s="273"/>
      <c r="M186" s="273"/>
      <c r="N186" s="273"/>
      <c r="O186" s="273"/>
      <c r="P186" s="220"/>
      <c r="Q186" s="274"/>
      <c r="R186" s="217" t="str">
        <f ca="1">IF(ISERROR($V186),"",OFFSET('Smelter Look-up'!$C$4,$V186-4,0)&amp;"")</f>
        <v>Telex Metals</v>
      </c>
      <c r="S186" s="225" t="str">
        <f t="shared" ca="1" si="24"/>
        <v>US</v>
      </c>
      <c r="T186" s="225" t="str">
        <f ca="1">IF(B186="","",IF(ISERROR(MATCH($J186,SorP!$B$1:$B$6230,0)),"",INDIRECT("'SorP'!$A$"&amp;MATCH($J186,SorP!$B$1:$B$6230,0))))</f>
        <v>US-PA</v>
      </c>
      <c r="U186" s="241"/>
      <c r="V186" s="275">
        <f ca="1">IF(C186="",NA(),MATCH($B186&amp;$C186,'Smelter Look-up'!$J:$J,0))</f>
        <v>347</v>
      </c>
      <c r="W186" s="276"/>
      <c r="X186" s="276">
        <f t="shared" ca="1" si="25"/>
        <v>0</v>
      </c>
      <c r="Y186" s="276"/>
      <c r="Z186" s="276"/>
      <c r="AB186" s="278" t="str">
        <f t="shared" ca="1" si="26"/>
        <v>TantalumTelex Metals</v>
      </c>
    </row>
    <row r="187" spans="1:28" s="277" customFormat="1" ht="20.25">
      <c r="A187" s="450" t="s">
        <v>782</v>
      </c>
      <c r="B187" s="217" t="str">
        <f ca="1">IF(LEN(A187)=0,"",INDEX('Smelter Look-up'!$A:$A,MATCH($A187,'Smelter Look-up'!$E:$E,0)))</f>
        <v>Tantalum</v>
      </c>
      <c r="C187" s="221" t="str">
        <f ca="1">IF(LEN(A187)=0,"",INDEX('Smelter Look-up'!$C:$C,MATCH($A187,'Smelter Look-up'!$E:$E,0)))</f>
        <v>Ulba Metallurgical Plant JSC</v>
      </c>
      <c r="D187" s="283"/>
      <c r="E187" s="217" t="str">
        <f ca="1">IF(ISERROR($V187),"",OFFSET('Smelter Look-up'!$D$4,$V187-4,0)&amp;"")</f>
        <v>KAZAKHSTAN</v>
      </c>
      <c r="F187" s="217" t="str">
        <f ca="1">IF(ISERROR($V187),"",OFFSET('Smelter Look-up'!$E$4,$V187-4,0))</f>
        <v>CID001969</v>
      </c>
      <c r="G187" s="217" t="str">
        <f ca="1">IF(C187=$X$4,"Enter smelter details",IF(ISERROR($V187),"",OFFSET('Smelter Look-up'!$F$4,$V187-4,0)))</f>
        <v>RMI</v>
      </c>
      <c r="H187" s="218">
        <f ca="1">IF(ISERROR($V187),"",OFFSET('Smelter Look-up'!$G$4,$V187-4,0))</f>
        <v>0</v>
      </c>
      <c r="I187" s="219" t="str">
        <f ca="1">IF(ISERROR($V187),"",OFFSET('Smelter Look-up'!$H$4,$V187-4,0))</f>
        <v>Ust-Kamenogorsk</v>
      </c>
      <c r="J187" s="219" t="str">
        <f ca="1">IF(ISERROR($V187),"",OFFSET('Smelter Look-up'!$I$4,$V187-4,0))</f>
        <v>Qaraghandy oblysy</v>
      </c>
      <c r="K187" s="273"/>
      <c r="L187" s="273"/>
      <c r="M187" s="273"/>
      <c r="N187" s="273"/>
      <c r="O187" s="273"/>
      <c r="P187" s="220"/>
      <c r="Q187" s="274"/>
      <c r="R187" s="217" t="str">
        <f ca="1">IF(ISERROR($V187),"",OFFSET('Smelter Look-up'!$C$4,$V187-4,0)&amp;"")</f>
        <v>Ulba Metallurgical Plant JSC</v>
      </c>
      <c r="S187" s="225" t="str">
        <f t="shared" ca="1" si="24"/>
        <v>KZ</v>
      </c>
      <c r="T187" s="225" t="str">
        <f ca="1">IF(B187="","",IF(ISERROR(MATCH($J187,SorP!$B$1:$B$6230,0)),"",INDIRECT("'SorP'!$A$"&amp;MATCH($J187,SorP!$B$1:$B$6230,0))))</f>
        <v>KZ-KAR</v>
      </c>
      <c r="U187" s="241"/>
      <c r="V187" s="275">
        <f ca="1">IF(C187="",NA(),MATCH($B187&amp;$C187,'Smelter Look-up'!$J:$J,0))</f>
        <v>349</v>
      </c>
      <c r="W187" s="276"/>
      <c r="X187" s="276">
        <f t="shared" ca="1" si="25"/>
        <v>0</v>
      </c>
      <c r="Y187" s="276"/>
      <c r="Z187" s="276"/>
      <c r="AB187" s="278" t="str">
        <f t="shared" ca="1" si="26"/>
        <v>TantalumUlba Metallurgical Plant JSC</v>
      </c>
    </row>
    <row r="188" spans="1:28" s="277" customFormat="1" ht="20.25">
      <c r="A188" s="450" t="s">
        <v>1423</v>
      </c>
      <c r="B188" s="217" t="str">
        <f ca="1">IF(LEN(A188)=0,"",INDEX('Smelter Look-up'!$A:$A,MATCH($A188,'Smelter Look-up'!$E:$E,0)))</f>
        <v>Tantalum</v>
      </c>
      <c r="C188" s="221" t="str">
        <f ca="1">IF(LEN(A188)=0,"",INDEX('Smelter Look-up'!$C:$C,MATCH($A188,'Smelter Look-up'!$E:$E,0)))</f>
        <v>XinXing HaoRong Electronic Material Co., Ltd.</v>
      </c>
      <c r="D188" s="283"/>
      <c r="E188" s="217" t="str">
        <f ca="1">IF(ISERROR($V188),"",OFFSET('Smelter Look-up'!$D$4,$V188-4,0)&amp;"")</f>
        <v>CHINA</v>
      </c>
      <c r="F188" s="217" t="str">
        <f ca="1">IF(ISERROR($V188),"",OFFSET('Smelter Look-up'!$E$4,$V188-4,0))</f>
        <v>CID002508</v>
      </c>
      <c r="G188" s="217" t="str">
        <f ca="1">IF(C188=$X$4,"Enter smelter details",IF(ISERROR($V188),"",OFFSET('Smelter Look-up'!$F$4,$V188-4,0)))</f>
        <v>RMI</v>
      </c>
      <c r="H188" s="218">
        <f ca="1">IF(ISERROR($V188),"",OFFSET('Smelter Look-up'!$G$4,$V188-4,0))</f>
        <v>0</v>
      </c>
      <c r="I188" s="219" t="str">
        <f ca="1">IF(ISERROR($V188),"",OFFSET('Smelter Look-up'!$H$4,$V188-4,0))</f>
        <v>YunFu City</v>
      </c>
      <c r="J188" s="219" t="str">
        <f ca="1">IF(ISERROR($V188),"",OFFSET('Smelter Look-up'!$I$4,$V188-4,0))</f>
        <v>Guangdong Sheng</v>
      </c>
      <c r="K188" s="273"/>
      <c r="L188" s="273"/>
      <c r="M188" s="273"/>
      <c r="N188" s="273"/>
      <c r="O188" s="273"/>
      <c r="P188" s="220"/>
      <c r="Q188" s="274"/>
      <c r="R188" s="217" t="str">
        <f ca="1">IF(ISERROR($V188),"",OFFSET('Smelter Look-up'!$C$4,$V188-4,0)&amp;"")</f>
        <v>XinXing HaoRong Electronic Material Co., Ltd.</v>
      </c>
      <c r="S188" s="225" t="str">
        <f t="shared" ca="1" si="24"/>
        <v>CN</v>
      </c>
      <c r="T188" s="225" t="str">
        <f ca="1">IF(B188="","",IF(ISERROR(MATCH($J188,SorP!$B$1:$B$6230,0)),"",INDIRECT("'SorP'!$A$"&amp;MATCH($J188,SorP!$B$1:$B$6230,0))))</f>
        <v>CN-GD</v>
      </c>
      <c r="U188" s="241"/>
      <c r="V188" s="275">
        <f ca="1">IF(C188="",NA(),MATCH($B188&amp;$C188,'Smelter Look-up'!$J:$J,0))</f>
        <v>350</v>
      </c>
      <c r="W188" s="276"/>
      <c r="X188" s="276">
        <f t="shared" ca="1" si="25"/>
        <v>0</v>
      </c>
      <c r="Y188" s="276"/>
      <c r="Z188" s="276"/>
      <c r="AB188" s="278" t="str">
        <f t="shared" ca="1" si="26"/>
        <v>TantalumXinXing HaoRong Electronic Material Co., Ltd.</v>
      </c>
    </row>
    <row r="189" spans="1:28" s="277" customFormat="1" ht="20.25">
      <c r="A189" s="450" t="s">
        <v>778</v>
      </c>
      <c r="B189" s="217" t="str">
        <f ca="1">IF(LEN(A189)=0,"",INDEX('Smelter Look-up'!$A:$A,MATCH($A189,'Smelter Look-up'!$E:$E,0)))</f>
        <v>Tantalum</v>
      </c>
      <c r="C189" s="221" t="str">
        <f ca="1">IF(LEN(A189)=0,"",INDEX('Smelter Look-up'!$C:$C,MATCH($A189,'Smelter Look-up'!$E:$E,0)))</f>
        <v>Yanling Jincheng Tantalum &amp; Niobium Co., Ltd.</v>
      </c>
      <c r="D189" s="283"/>
      <c r="E189" s="217" t="str">
        <f ca="1">IF(ISERROR($V189),"",OFFSET('Smelter Look-up'!$D$4,$V189-4,0)&amp;"")</f>
        <v>CHINA</v>
      </c>
      <c r="F189" s="217" t="str">
        <f ca="1">IF(ISERROR($V189),"",OFFSET('Smelter Look-up'!$E$4,$V189-4,0))</f>
        <v>CID001522</v>
      </c>
      <c r="G189" s="217" t="str">
        <f ca="1">IF(C189=$X$4,"Enter smelter details",IF(ISERROR($V189),"",OFFSET('Smelter Look-up'!$F$4,$V189-4,0)))</f>
        <v>RMI</v>
      </c>
      <c r="H189" s="218">
        <f ca="1">IF(ISERROR($V189),"",OFFSET('Smelter Look-up'!$G$4,$V189-4,0))</f>
        <v>0</v>
      </c>
      <c r="I189" s="219" t="str">
        <f ca="1">IF(ISERROR($V189),"",OFFSET('Smelter Look-up'!$H$4,$V189-4,0))</f>
        <v>Zhuzhou</v>
      </c>
      <c r="J189" s="219" t="str">
        <f ca="1">IF(ISERROR($V189),"",OFFSET('Smelter Look-up'!$I$4,$V189-4,0))</f>
        <v>Hunan Sheng</v>
      </c>
      <c r="K189" s="273"/>
      <c r="L189" s="273"/>
      <c r="M189" s="273"/>
      <c r="N189" s="273"/>
      <c r="O189" s="273"/>
      <c r="P189" s="220"/>
      <c r="Q189" s="274"/>
      <c r="R189" s="217" t="str">
        <f ca="1">IF(ISERROR($V189),"",OFFSET('Smelter Look-up'!$C$4,$V189-4,0)&amp;"")</f>
        <v>Yanling Jincheng Tantalum &amp; Niobium Co., Ltd.</v>
      </c>
      <c r="S189" s="225" t="str">
        <f t="shared" ca="1" si="24"/>
        <v>CN</v>
      </c>
      <c r="T189" s="225" t="str">
        <f ca="1">IF(B189="","",IF(ISERROR(MATCH($J189,SorP!$B$1:$B$6230,0)),"",INDIRECT("'SorP'!$A$"&amp;MATCH($J189,SorP!$B$1:$B$6230,0))))</f>
        <v>CN-HN</v>
      </c>
      <c r="U189" s="241"/>
      <c r="V189" s="275">
        <f ca="1">IF(C189="",NA(),MATCH($B189&amp;$C189,'Smelter Look-up'!$J:$J,0))</f>
        <v>351</v>
      </c>
      <c r="W189" s="276"/>
      <c r="X189" s="276">
        <f t="shared" ca="1" si="25"/>
        <v>0</v>
      </c>
      <c r="Y189" s="276"/>
      <c r="Z189" s="276"/>
      <c r="AB189" s="278" t="str">
        <f t="shared" ca="1" si="26"/>
        <v>TantalumYanling Jincheng Tantalum &amp; Niobium Co., Ltd.</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IsJ0IjW2zXCvGS5JGN6I/KA7nBUoJQk2x1FXy5XuzJf0jeDblVzWXhVxtezI7zkYgfRk6N80Cqpu192sgoH5tg==" saltValue="MS39vowXhO1lfjnDwUxbdg==" spinCount="100000" sheet="1" objects="1" scenarios="1"/>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3" t="str">
        <f ca="1">OFFSET(L!$C$1,MATCH("Checker"&amp;ADDRESS(ROW(),COLUMN(),4),L!$A:$A,0)-1,SL,,)</f>
        <v>To ensure all required fields have been populated before submitting to your customers review form for any line items highlighted in red</v>
      </c>
      <c r="B1" s="443"/>
      <c r="C1" s="443"/>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e">
        <f ca="1">IF(H70=0,"0",H70)</f>
        <v>#N/A</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SynQor,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Howard Cyker</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componentengineering@synqor.com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978-849-0600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Howard Cyker</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componentengineering@synqor.com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43972</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No</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51">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http://www.synqor.com/documents/legal/SupplierTsAndCs.pdf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0</v>
      </c>
      <c r="G68" s="81">
        <f ca="1">IF(AND(COUNTIF(SmelterIdetifiedForMetal,"Tungsten")&gt;0,COUNTIF('Smelter List'!AB$5:AB$2504,"Tungsten?*")&gt;0),0,1)</f>
        <v>1</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t="e">
        <f ca="1">IF(OR(SUMPRODUCT(('Smelter List'!C5:C2504="Smelter not listed")*('Smelter List'!D5:D2504=""))&gt;0,SUMPRODUCT(('Smelter List'!C5:C2504="Smelter not listed")*('Smelter List'!E5:E2504=""))&gt;0),1,0)</f>
        <v>#N/A</v>
      </c>
      <c r="H69" s="82" t="e">
        <f t="shared" ca="1" si="14"/>
        <v>#N/A</v>
      </c>
      <c r="I69" s="179" t="str">
        <f ca="1">OFFSET(L!$C$1,MATCH("Checker"&amp;"Comp",L!$A:$A,0)-1,SL,,)</f>
        <v>Complete</v>
      </c>
      <c r="J69" s="22" t="s">
        <v>2483</v>
      </c>
      <c r="K69" s="186"/>
      <c r="L69" s="22" t="s">
        <v>2484</v>
      </c>
    </row>
    <row r="70" spans="1:12">
      <c r="H70" s="22" t="e">
        <f ca="1">SUM(H4:H69)</f>
        <v>#N/A</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5" t="str">
        <f ca="1">OFFSET(L!$C$1,MATCH("Product List"&amp;ADDRESS(ROW(),COLUMN(),4),L!$A:$A,0)-1,SL,,)</f>
        <v>Completion required only if reporting level "Product (or List of Products)" selected on the 'Declaration' worksheet.</v>
      </c>
      <c r="B1" s="446"/>
      <c r="C1" s="446"/>
      <c r="D1" s="446"/>
      <c r="E1" s="145"/>
    </row>
    <row r="2" spans="1:6">
      <c r="A2" s="29"/>
      <c r="B2" s="147"/>
      <c r="C2" s="147"/>
      <c r="D2"/>
      <c r="E2" s="30"/>
    </row>
    <row r="3" spans="1:6">
      <c r="A3" s="29"/>
      <c r="B3" s="147"/>
      <c r="C3" s="147"/>
      <c r="D3" s="147"/>
      <c r="E3" s="30"/>
    </row>
    <row r="4" spans="1:6" ht="15.75" customHeight="1">
      <c r="A4" s="29"/>
      <c r="B4" s="444" t="s">
        <v>921</v>
      </c>
      <c r="C4" s="444"/>
      <c r="D4" s="444"/>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7" t="str">
        <f ca="1">OFFSET(L!$C$1,MATCH("General"&amp;"Cpy",L!$A:$A,0)-1,SL,,)</f>
        <v>© 2020 Responsible Minerals Initiative. All rights reserved.</v>
      </c>
      <c r="C1001" s="447"/>
      <c r="D1001" s="447"/>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documentManagement/types"/>
    <ds:schemaRef ds:uri="http://purl.org/dc/terms/"/>
    <ds:schemaRef ds:uri="060324a1-f66f-4c36-a8ec-beadbf2f4219"/>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Rahul Shivramkrishnan</cp:lastModifiedBy>
  <cp:lastPrinted>2015-04-21T20:47:43Z</cp:lastPrinted>
  <dcterms:created xsi:type="dcterms:W3CDTF">2010-06-21T21:00:23Z</dcterms:created>
  <dcterms:modified xsi:type="dcterms:W3CDTF">2020-05-21T19:05:37Z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